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D:\mkrznaric\Dropbox\Aidos klijenti\FFRZ\Nabava RADOVI\"/>
    </mc:Choice>
  </mc:AlternateContent>
  <xr:revisionPtr revIDLastSave="0" documentId="8_{913410EE-A2B5-4BD7-92E1-B5B48A4217FA}" xr6:coauthVersionLast="47" xr6:coauthVersionMax="47" xr10:uidLastSave="{00000000-0000-0000-0000-000000000000}"/>
  <bookViews>
    <workbookView xWindow="-108" yWindow="-108" windowWidth="23256" windowHeight="12576" tabRatio="718" firstSheet="4" activeTab="4" xr2:uid="{05C86C8F-4336-4D96-AA54-1388B07D0077}"/>
  </bookViews>
  <sheets>
    <sheet name="VIO" sheetId="2" state="hidden" r:id="rId1"/>
    <sheet name="T" sheetId="19" state="hidden" r:id="rId2"/>
    <sheet name="T1.1" sheetId="14" state="hidden" r:id="rId3"/>
    <sheet name="T1.2" sheetId="25" state="hidden" r:id="rId4"/>
    <sheet name="Rekapitulacija" sheetId="24" r:id="rId5"/>
    <sheet name="T2.1" sheetId="7" r:id="rId6"/>
    <sheet name="T2.2.1" sheetId="8" r:id="rId7"/>
    <sheet name="T2.2.2" sheetId="12" r:id="rId8"/>
    <sheet name="T2.2.3" sheetId="9" r:id="rId9"/>
    <sheet name="T2.2.4" sheetId="11" r:id="rId10"/>
    <sheet name="T2.2.5" sheetId="13" r:id="rId11"/>
    <sheet name="T3.1" sheetId="18" state="hidden" r:id="rId12"/>
    <sheet name="T3.2" sheetId="16" state="hidden" r:id="rId13"/>
    <sheet name="G" sheetId="20" state="hidden" r:id="rId14"/>
    <sheet name="PRILOZI" sheetId="26" state="hidden" r:id="rId15"/>
    <sheet name="CIJENE" sheetId="10" state="hidden" r:id="rId16"/>
    <sheet name="Provjera" sheetId="22" state="hidden" r:id="rId17"/>
    <sheet name="UKUPNO" sheetId="21" state="hidden" r:id="rId18"/>
    <sheet name="UKUPNO Staro" sheetId="15" state="hidden" r:id="rId19"/>
  </sheets>
  <definedNames>
    <definedName name="_xlnm.Print_Titles" localSheetId="16">Provjera!$47:$47</definedName>
    <definedName name="_xlnm.Print_Titles" localSheetId="4">Rekapitulacija!$9:$9</definedName>
    <definedName name="_xlnm.Print_Titles" localSheetId="2">'T1.1'!$47:$47</definedName>
    <definedName name="_xlnm.Print_Titles" localSheetId="3">'T1.2'!$45:$45</definedName>
    <definedName name="_xlnm.Print_Titles" localSheetId="5">'T2.1'!$45:$45</definedName>
    <definedName name="_xlnm.Print_Titles" localSheetId="6">'T2.2.1'!$44:$44</definedName>
    <definedName name="_xlnm.Print_Titles" localSheetId="7">'T2.2.2'!$43:$43</definedName>
    <definedName name="_xlnm.Print_Titles" localSheetId="8">'T2.2.3'!$43:$43</definedName>
    <definedName name="_xlnm.Print_Titles" localSheetId="9">'T2.2.4'!$44:$44</definedName>
    <definedName name="_xlnm.Print_Titles" localSheetId="10">'T2.2.5'!$44:$44</definedName>
    <definedName name="_xlnm.Print_Titles" localSheetId="11">'T3.1'!$44:$44</definedName>
    <definedName name="_xlnm.Print_Titles" localSheetId="12">'T3.2'!$43:$43</definedName>
    <definedName name="_xlnm.Print_Titles" localSheetId="17">UKUPNO!$47:$47</definedName>
    <definedName name="_xlnm.Print_Titles" localSheetId="18">'UKUPNO Staro'!$47:$47</definedName>
    <definedName name="_xlnm.Print_Titles" localSheetId="0">VIO!$45:$45</definedName>
    <definedName name="_xlnm.Print_Area" localSheetId="12">'T3.2'!$A$1:$H$154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51" i="11" l="1"/>
  <c r="G62" i="9"/>
  <c r="E104" i="13"/>
  <c r="G104" i="13" s="1"/>
  <c r="E154" i="13" l="1"/>
  <c r="G154" i="13" s="1"/>
  <c r="E153" i="13"/>
  <c r="G153" i="13" s="1"/>
  <c r="E152" i="13"/>
  <c r="G152" i="13" s="1"/>
  <c r="E151" i="13"/>
  <c r="G151" i="13" s="1"/>
  <c r="E150" i="13"/>
  <c r="G150" i="13" s="1"/>
  <c r="E149" i="13"/>
  <c r="G149" i="13" s="1"/>
  <c r="E148" i="13"/>
  <c r="G148" i="13" s="1"/>
  <c r="E147" i="13"/>
  <c r="G147" i="13" s="1"/>
  <c r="E146" i="13"/>
  <c r="G146" i="13" s="1"/>
  <c r="E145" i="13"/>
  <c r="G145" i="13" s="1"/>
  <c r="E144" i="13"/>
  <c r="G144" i="13" s="1"/>
  <c r="E143" i="13"/>
  <c r="G143" i="13" s="1"/>
  <c r="E142" i="13"/>
  <c r="G142" i="13" s="1"/>
  <c r="E141" i="13"/>
  <c r="G141" i="13" s="1"/>
  <c r="E140" i="13"/>
  <c r="G140" i="13" s="1"/>
  <c r="G139" i="13"/>
  <c r="E139" i="13"/>
  <c r="G138" i="13"/>
  <c r="E138" i="13"/>
  <c r="E137" i="13"/>
  <c r="G137" i="13" s="1"/>
  <c r="E136" i="13"/>
  <c r="G136" i="13" s="1"/>
  <c r="E135" i="13"/>
  <c r="G135" i="13" s="1"/>
  <c r="E134" i="13"/>
  <c r="G134" i="13" s="1"/>
  <c r="E133" i="13"/>
  <c r="G133" i="13" s="1"/>
  <c r="E132" i="13"/>
  <c r="G132" i="13" s="1"/>
  <c r="E131" i="13"/>
  <c r="G131" i="13" s="1"/>
  <c r="E130" i="13"/>
  <c r="G130" i="13" s="1"/>
  <c r="G129" i="13"/>
  <c r="E129" i="13"/>
  <c r="G128" i="13"/>
  <c r="E128" i="13"/>
  <c r="E127" i="13"/>
  <c r="G127" i="13" s="1"/>
  <c r="E126" i="13"/>
  <c r="G126" i="13" s="1"/>
  <c r="E125" i="13"/>
  <c r="G125" i="13" s="1"/>
  <c r="E124" i="13"/>
  <c r="G124" i="13" s="1"/>
  <c r="E123" i="13"/>
  <c r="G123" i="13" s="1"/>
  <c r="E122" i="13"/>
  <c r="G122" i="13" s="1"/>
  <c r="E121" i="13"/>
  <c r="G121" i="13" s="1"/>
  <c r="E120" i="13"/>
  <c r="G120" i="13" s="1"/>
  <c r="G119" i="13"/>
  <c r="E119" i="13"/>
  <c r="G118" i="13"/>
  <c r="E118" i="13"/>
  <c r="E117" i="13"/>
  <c r="G117" i="13" s="1"/>
  <c r="E116" i="13"/>
  <c r="G116" i="13" s="1"/>
  <c r="E115" i="13"/>
  <c r="G115" i="13" s="1"/>
  <c r="E114" i="13"/>
  <c r="G114" i="13" s="1"/>
  <c r="E113" i="13"/>
  <c r="G113" i="13" s="1"/>
  <c r="E112" i="13"/>
  <c r="G112" i="13" s="1"/>
  <c r="E111" i="13"/>
  <c r="G111" i="13" s="1"/>
  <c r="E110" i="13"/>
  <c r="G110" i="13" s="1"/>
  <c r="G109" i="13"/>
  <c r="E109" i="13"/>
  <c r="G108" i="13"/>
  <c r="E108" i="13"/>
  <c r="E107" i="13"/>
  <c r="G107" i="13" s="1"/>
  <c r="E106" i="13"/>
  <c r="G106" i="13" s="1"/>
  <c r="E102" i="13"/>
  <c r="G102" i="13" s="1"/>
  <c r="E101" i="13"/>
  <c r="G101" i="13" s="1"/>
  <c r="E100" i="13"/>
  <c r="G100" i="13" s="1"/>
  <c r="E99" i="13"/>
  <c r="G99" i="13" s="1"/>
  <c r="E98" i="13"/>
  <c r="G98" i="13" s="1"/>
  <c r="G97" i="13"/>
  <c r="E97" i="13"/>
  <c r="G96" i="13"/>
  <c r="E96" i="13"/>
  <c r="E95" i="13"/>
  <c r="G95" i="13" s="1"/>
  <c r="E94" i="13"/>
  <c r="G94" i="13" s="1"/>
  <c r="E93" i="13"/>
  <c r="G93" i="13" s="1"/>
  <c r="E92" i="13"/>
  <c r="G92" i="13" s="1"/>
  <c r="E91" i="13"/>
  <c r="G91" i="13" s="1"/>
  <c r="E90" i="13"/>
  <c r="G90" i="13" s="1"/>
  <c r="E89" i="13"/>
  <c r="G89" i="13" s="1"/>
  <c r="E87" i="13"/>
  <c r="G87" i="13" s="1"/>
  <c r="C70" i="26" l="1"/>
  <c r="C3" i="26"/>
  <c r="C4" i="26" s="1"/>
  <c r="C6" i="26" s="1"/>
  <c r="C8" i="26" s="1"/>
  <c r="C9" i="26" s="1"/>
  <c r="C10" i="26" s="1"/>
  <c r="C11" i="26" s="1"/>
  <c r="C12" i="26" s="1"/>
  <c r="C14" i="26" s="1"/>
  <c r="C15" i="26" s="1"/>
  <c r="C16" i="26" s="1"/>
  <c r="C12" i="24"/>
  <c r="C13" i="24" s="1"/>
  <c r="C11" i="24"/>
  <c r="N92" i="25"/>
  <c r="E92" i="25" s="1"/>
  <c r="G92" i="25" s="1"/>
  <c r="O90" i="25"/>
  <c r="E90" i="25"/>
  <c r="G90" i="25" s="1"/>
  <c r="O89" i="25"/>
  <c r="F89" i="25" s="1"/>
  <c r="E89" i="25"/>
  <c r="E87" i="25"/>
  <c r="G87" i="25" s="1"/>
  <c r="N85" i="25"/>
  <c r="E85" i="25" s="1"/>
  <c r="G85" i="25" s="1"/>
  <c r="E84" i="25"/>
  <c r="G84" i="25" s="1"/>
  <c r="O83" i="25"/>
  <c r="F83" i="25" s="1"/>
  <c r="N83" i="25"/>
  <c r="E83" i="25" s="1"/>
  <c r="P82" i="25"/>
  <c r="N82" i="25"/>
  <c r="E82" i="25" s="1"/>
  <c r="G82" i="25" s="1"/>
  <c r="E80" i="25"/>
  <c r="G80" i="25" s="1"/>
  <c r="P79" i="25"/>
  <c r="E79" i="25"/>
  <c r="G79" i="25" s="1"/>
  <c r="O77" i="25"/>
  <c r="F77" i="25"/>
  <c r="E77" i="25"/>
  <c r="O76" i="25"/>
  <c r="F76" i="25" s="1"/>
  <c r="E76" i="25"/>
  <c r="F75" i="25"/>
  <c r="E75" i="25"/>
  <c r="F74" i="25"/>
  <c r="E74" i="25"/>
  <c r="G74" i="25" s="1"/>
  <c r="F73" i="25"/>
  <c r="G73" i="25" s="1"/>
  <c r="F72" i="25"/>
  <c r="G72" i="25" s="1"/>
  <c r="F71" i="25"/>
  <c r="E71" i="25"/>
  <c r="O70" i="25"/>
  <c r="F70" i="25" s="1"/>
  <c r="E70" i="25"/>
  <c r="O69" i="25"/>
  <c r="F69" i="25" s="1"/>
  <c r="E69" i="25"/>
  <c r="O68" i="25"/>
  <c r="F68" i="25"/>
  <c r="E68" i="25"/>
  <c r="G68" i="25" s="1"/>
  <c r="O67" i="25"/>
  <c r="F67" i="25" s="1"/>
  <c r="E67" i="25"/>
  <c r="P66" i="25"/>
  <c r="O66" i="25"/>
  <c r="E66" i="25"/>
  <c r="G66" i="25" s="1"/>
  <c r="P65" i="25"/>
  <c r="O65" i="25"/>
  <c r="N65" i="25"/>
  <c r="E65" i="25" s="1"/>
  <c r="G65" i="25" s="1"/>
  <c r="P64" i="25"/>
  <c r="O64" i="25"/>
  <c r="E64" i="25"/>
  <c r="G64" i="25" s="1"/>
  <c r="P63" i="25"/>
  <c r="O63" i="25"/>
  <c r="E63" i="25"/>
  <c r="G63" i="25" s="1"/>
  <c r="E62" i="25"/>
  <c r="G62" i="25" s="1"/>
  <c r="E60" i="25"/>
  <c r="G60" i="25" s="1"/>
  <c r="N59" i="25"/>
  <c r="E59" i="25"/>
  <c r="G59" i="25" s="1"/>
  <c r="F55" i="25"/>
  <c r="E55" i="25"/>
  <c r="E54" i="25"/>
  <c r="G54" i="25" s="1"/>
  <c r="N53" i="25"/>
  <c r="N57" i="25" s="1"/>
  <c r="E57" i="25" s="1"/>
  <c r="G57" i="25" s="1"/>
  <c r="E52" i="25"/>
  <c r="G52" i="25" s="1"/>
  <c r="E51" i="25"/>
  <c r="G51" i="25" s="1"/>
  <c r="E50" i="25"/>
  <c r="G50" i="25" s="1"/>
  <c r="E49" i="25"/>
  <c r="G49" i="25" s="1"/>
  <c r="F48" i="25"/>
  <c r="G48" i="25" s="1"/>
  <c r="F47" i="25"/>
  <c r="G47" i="25" s="1"/>
  <c r="F12" i="10"/>
  <c r="E23" i="10"/>
  <c r="E22" i="10"/>
  <c r="D22" i="10"/>
  <c r="C30" i="24"/>
  <c r="C29" i="24"/>
  <c r="C31" i="24" s="1"/>
  <c r="H69" i="7"/>
  <c r="E69" i="7"/>
  <c r="G69" i="7" s="1"/>
  <c r="O67" i="7"/>
  <c r="E67" i="7"/>
  <c r="G67" i="7" s="1"/>
  <c r="O66" i="7"/>
  <c r="E66" i="7"/>
  <c r="G66" i="7" s="1"/>
  <c r="P64" i="7"/>
  <c r="H64" i="7"/>
  <c r="E64" i="7" s="1"/>
  <c r="G64" i="7" s="1"/>
  <c r="P63" i="7"/>
  <c r="E63" i="7"/>
  <c r="G63" i="7" s="1"/>
  <c r="O61" i="7"/>
  <c r="E61" i="7"/>
  <c r="G61" i="7" s="1"/>
  <c r="H60" i="7"/>
  <c r="E60" i="7" s="1"/>
  <c r="G60" i="7" s="1"/>
  <c r="H59" i="7"/>
  <c r="E59" i="7" s="1"/>
  <c r="G59" i="7" s="1"/>
  <c r="E58" i="7"/>
  <c r="G58" i="7" s="1"/>
  <c r="I56" i="7"/>
  <c r="I55" i="7"/>
  <c r="E54" i="7"/>
  <c r="G54" i="7" s="1"/>
  <c r="G53" i="7"/>
  <c r="E53" i="7"/>
  <c r="H52" i="7"/>
  <c r="H56" i="7" s="1"/>
  <c r="E56" i="7" s="1"/>
  <c r="G56" i="7" s="1"/>
  <c r="E51" i="7"/>
  <c r="G51" i="7" s="1"/>
  <c r="E50" i="7"/>
  <c r="G50" i="7" s="1"/>
  <c r="I49" i="7"/>
  <c r="H49" i="7"/>
  <c r="E49" i="7" s="1"/>
  <c r="G49" i="7" s="1"/>
  <c r="G48" i="7"/>
  <c r="G47" i="7"/>
  <c r="D12" i="24" l="1"/>
  <c r="E12" i="24" s="1"/>
  <c r="D11" i="24"/>
  <c r="G89" i="25"/>
  <c r="G75" i="25"/>
  <c r="E53" i="25"/>
  <c r="G53" i="25" s="1"/>
  <c r="G76" i="25"/>
  <c r="G67" i="25"/>
  <c r="G71" i="25"/>
  <c r="G70" i="25"/>
  <c r="G77" i="25"/>
  <c r="G69" i="25"/>
  <c r="G55" i="25"/>
  <c r="G83" i="25"/>
  <c r="N56" i="25"/>
  <c r="E56" i="25" s="1"/>
  <c r="G56" i="25" s="1"/>
  <c r="D29" i="24"/>
  <c r="D30" i="24"/>
  <c r="E30" i="24" s="1"/>
  <c r="E52" i="7"/>
  <c r="G52" i="7" s="1"/>
  <c r="H55" i="7"/>
  <c r="E55" i="7" s="1"/>
  <c r="G55" i="7" s="1"/>
  <c r="G70" i="7" l="1"/>
  <c r="C18" i="26"/>
  <c r="C19" i="26" s="1"/>
  <c r="E11" i="24"/>
  <c r="E13" i="24" s="1"/>
  <c r="D13" i="24"/>
  <c r="E29" i="24"/>
  <c r="E31" i="24" s="1"/>
  <c r="D31" i="24"/>
  <c r="G93" i="25"/>
  <c r="G94" i="25" s="1"/>
  <c r="G95" i="25" s="1"/>
  <c r="H151" i="16"/>
  <c r="E151" i="16"/>
  <c r="G151" i="16" s="1"/>
  <c r="H149" i="16"/>
  <c r="E149" i="16" s="1"/>
  <c r="G149" i="16" s="1"/>
  <c r="L147" i="16"/>
  <c r="G147" i="16"/>
  <c r="E147" i="16"/>
  <c r="L146" i="16"/>
  <c r="F146" i="16" s="1"/>
  <c r="H146" i="16"/>
  <c r="E146" i="16" s="1"/>
  <c r="G146" i="16" s="1"/>
  <c r="E144" i="16"/>
  <c r="G144" i="16" s="1"/>
  <c r="E143" i="16"/>
  <c r="G143" i="16" s="1"/>
  <c r="E142" i="16"/>
  <c r="G142" i="16" s="1"/>
  <c r="E141" i="16"/>
  <c r="G141" i="16" s="1"/>
  <c r="E140" i="16"/>
  <c r="G140" i="16" s="1"/>
  <c r="E139" i="16"/>
  <c r="G139" i="16" s="1"/>
  <c r="E138" i="16"/>
  <c r="G138" i="16" s="1"/>
  <c r="E137" i="16"/>
  <c r="G137" i="16" s="1"/>
  <c r="E136" i="16"/>
  <c r="G136" i="16" s="1"/>
  <c r="E135" i="16"/>
  <c r="G135" i="16" s="1"/>
  <c r="E134" i="16"/>
  <c r="G134" i="16" s="1"/>
  <c r="E133" i="16"/>
  <c r="G133" i="16" s="1"/>
  <c r="E132" i="16"/>
  <c r="G132" i="16" s="1"/>
  <c r="E131" i="16"/>
  <c r="G131" i="16" s="1"/>
  <c r="E130" i="16"/>
  <c r="G130" i="16" s="1"/>
  <c r="E129" i="16"/>
  <c r="G129" i="16" s="1"/>
  <c r="E128" i="16"/>
  <c r="G128" i="16" s="1"/>
  <c r="E127" i="16"/>
  <c r="G127" i="16" s="1"/>
  <c r="E126" i="16"/>
  <c r="G126" i="16" s="1"/>
  <c r="E124" i="16"/>
  <c r="G124" i="16" s="1"/>
  <c r="E123" i="16"/>
  <c r="G123" i="16" s="1"/>
  <c r="E122" i="16"/>
  <c r="G122" i="16" s="1"/>
  <c r="E121" i="16"/>
  <c r="G121" i="16" s="1"/>
  <c r="E120" i="16"/>
  <c r="G120" i="16" s="1"/>
  <c r="E119" i="16"/>
  <c r="G119" i="16" s="1"/>
  <c r="E118" i="16"/>
  <c r="G118" i="16" s="1"/>
  <c r="E117" i="16"/>
  <c r="G117" i="16" s="1"/>
  <c r="E116" i="16"/>
  <c r="G116" i="16" s="1"/>
  <c r="E115" i="16"/>
  <c r="G115" i="16" s="1"/>
  <c r="E114" i="16"/>
  <c r="G114" i="16" s="1"/>
  <c r="E113" i="16"/>
  <c r="G113" i="16" s="1"/>
  <c r="E111" i="16"/>
  <c r="G111" i="16" s="1"/>
  <c r="E110" i="16"/>
  <c r="G110" i="16" s="1"/>
  <c r="E109" i="16"/>
  <c r="G109" i="16" s="1"/>
  <c r="E108" i="16"/>
  <c r="G108" i="16" s="1"/>
  <c r="E107" i="16"/>
  <c r="G107" i="16" s="1"/>
  <c r="E106" i="16"/>
  <c r="G106" i="16" s="1"/>
  <c r="E105" i="16"/>
  <c r="G105" i="16" s="1"/>
  <c r="E104" i="16"/>
  <c r="G104" i="16" s="1"/>
  <c r="E103" i="16"/>
  <c r="G103" i="16" s="1"/>
  <c r="E102" i="16"/>
  <c r="G102" i="16" s="1"/>
  <c r="E101" i="16"/>
  <c r="G101" i="16" s="1"/>
  <c r="E100" i="16"/>
  <c r="G100" i="16" s="1"/>
  <c r="E99" i="16"/>
  <c r="G99" i="16" s="1"/>
  <c r="E98" i="16"/>
  <c r="G98" i="16" s="1"/>
  <c r="E97" i="16"/>
  <c r="G97" i="16" s="1"/>
  <c r="E96" i="16"/>
  <c r="G96" i="16" s="1"/>
  <c r="E95" i="16"/>
  <c r="G95" i="16" s="1"/>
  <c r="E94" i="16"/>
  <c r="G94" i="16" s="1"/>
  <c r="E93" i="16"/>
  <c r="G93" i="16" s="1"/>
  <c r="E92" i="16"/>
  <c r="G92" i="16" s="1"/>
  <c r="E91" i="16"/>
  <c r="G91" i="16" s="1"/>
  <c r="E90" i="16"/>
  <c r="G90" i="16" s="1"/>
  <c r="E89" i="16"/>
  <c r="G89" i="16" s="1"/>
  <c r="E88" i="16"/>
  <c r="G88" i="16" s="1"/>
  <c r="E87" i="16"/>
  <c r="G87" i="16" s="1"/>
  <c r="E86" i="16"/>
  <c r="G86" i="16" s="1"/>
  <c r="E85" i="16"/>
  <c r="G85" i="16" s="1"/>
  <c r="E84" i="16"/>
  <c r="G84" i="16" s="1"/>
  <c r="E83" i="16"/>
  <c r="G83" i="16" s="1"/>
  <c r="E82" i="16"/>
  <c r="G82" i="16" s="1"/>
  <c r="L80" i="16"/>
  <c r="H80" i="16"/>
  <c r="E80" i="16" s="1"/>
  <c r="G80" i="16" s="1"/>
  <c r="F80" i="16"/>
  <c r="M79" i="16"/>
  <c r="F79" i="16" s="1"/>
  <c r="H79" i="16"/>
  <c r="E79" i="16" s="1"/>
  <c r="G79" i="16" s="1"/>
  <c r="M78" i="16"/>
  <c r="H78" i="16"/>
  <c r="E78" i="16" s="1"/>
  <c r="G78" i="16" s="1"/>
  <c r="L76" i="16"/>
  <c r="H76" i="16"/>
  <c r="E76" i="16" s="1"/>
  <c r="G76" i="16" s="1"/>
  <c r="M74" i="16"/>
  <c r="L74" i="16"/>
  <c r="H74" i="16"/>
  <c r="E74" i="16"/>
  <c r="G74" i="16" s="1"/>
  <c r="A74" i="16"/>
  <c r="M73" i="16"/>
  <c r="L73" i="16"/>
  <c r="H73" i="16"/>
  <c r="E73" i="16" s="1"/>
  <c r="G73" i="16" s="1"/>
  <c r="A73" i="16"/>
  <c r="M72" i="16"/>
  <c r="L72" i="16"/>
  <c r="E72" i="16"/>
  <c r="G72" i="16" s="1"/>
  <c r="A72" i="16"/>
  <c r="G71" i="16"/>
  <c r="E71" i="16"/>
  <c r="A71" i="16"/>
  <c r="E70" i="16"/>
  <c r="G70" i="16" s="1"/>
  <c r="A70" i="16"/>
  <c r="H69" i="16"/>
  <c r="E69" i="16"/>
  <c r="G69" i="16" s="1"/>
  <c r="A69" i="16"/>
  <c r="H68" i="16"/>
  <c r="E68" i="16"/>
  <c r="G68" i="16" s="1"/>
  <c r="A68" i="16"/>
  <c r="E67" i="16"/>
  <c r="G67" i="16" s="1"/>
  <c r="A67" i="16"/>
  <c r="H66" i="16"/>
  <c r="E66" i="16"/>
  <c r="G66" i="16" s="1"/>
  <c r="A66" i="16"/>
  <c r="H65" i="16"/>
  <c r="E65" i="16"/>
  <c r="G65" i="16" s="1"/>
  <c r="A65" i="16"/>
  <c r="H64" i="16"/>
  <c r="L64" i="16" s="1"/>
  <c r="E64" i="16"/>
  <c r="G64" i="16" s="1"/>
  <c r="A64" i="16"/>
  <c r="G62" i="16"/>
  <c r="G60" i="16"/>
  <c r="G59" i="16"/>
  <c r="G58" i="16"/>
  <c r="G55" i="16"/>
  <c r="E55" i="16"/>
  <c r="H54" i="16"/>
  <c r="E54" i="16"/>
  <c r="G54" i="16" s="1"/>
  <c r="H53" i="16"/>
  <c r="E53" i="16"/>
  <c r="G53" i="16" s="1"/>
  <c r="H52" i="16"/>
  <c r="E52" i="16" s="1"/>
  <c r="G52" i="16" s="1"/>
  <c r="H51" i="16"/>
  <c r="H56" i="16" s="1"/>
  <c r="E56" i="16" s="1"/>
  <c r="G56" i="16" s="1"/>
  <c r="E50" i="16"/>
  <c r="G50" i="16" s="1"/>
  <c r="G49" i="16"/>
  <c r="E49" i="16"/>
  <c r="E48" i="16"/>
  <c r="G48" i="16" s="1"/>
  <c r="H47" i="16"/>
  <c r="E47" i="16" s="1"/>
  <c r="G47" i="16" s="1"/>
  <c r="F46" i="16"/>
  <c r="G46" i="16" s="1"/>
  <c r="F45" i="16"/>
  <c r="G45" i="16" s="1"/>
  <c r="C7" i="10" l="1"/>
  <c r="G71" i="7"/>
  <c r="C22" i="26"/>
  <c r="C23" i="26" s="1"/>
  <c r="C24" i="26" s="1"/>
  <c r="C25" i="26" s="1"/>
  <c r="C26" i="26" s="1"/>
  <c r="C27" i="26" s="1"/>
  <c r="C28" i="26" s="1"/>
  <c r="C29" i="26" s="1"/>
  <c r="H57" i="16"/>
  <c r="E57" i="16" s="1"/>
  <c r="G57" i="16" s="1"/>
  <c r="E51" i="16"/>
  <c r="G51" i="16" s="1"/>
  <c r="C31" i="26" l="1"/>
  <c r="C32" i="26" s="1"/>
  <c r="C33" i="26" s="1"/>
  <c r="C34" i="26" s="1"/>
  <c r="C35" i="26" s="1"/>
  <c r="C36" i="26" s="1"/>
  <c r="C37" i="26" s="1"/>
  <c r="E66" i="18"/>
  <c r="G66" i="18" s="1"/>
  <c r="E65" i="18"/>
  <c r="G65" i="18" s="1"/>
  <c r="E62" i="18"/>
  <c r="G62" i="18" s="1"/>
  <c r="E60" i="18"/>
  <c r="G60" i="18" s="1"/>
  <c r="E58" i="18"/>
  <c r="G58" i="18" s="1"/>
  <c r="E57" i="18"/>
  <c r="E53" i="18"/>
  <c r="G53" i="18" s="1"/>
  <c r="E52" i="18"/>
  <c r="G52" i="18" s="1"/>
  <c r="E50" i="18"/>
  <c r="G50" i="18" s="1"/>
  <c r="E49" i="18"/>
  <c r="G49" i="18" s="1"/>
  <c r="F47" i="18"/>
  <c r="G47" i="18" s="1"/>
  <c r="F46" i="18"/>
  <c r="G46" i="18" s="1"/>
  <c r="E75" i="14"/>
  <c r="G75" i="14" s="1"/>
  <c r="E67" i="8"/>
  <c r="G67" i="8" s="1"/>
  <c r="J192" i="22"/>
  <c r="E192" i="22" s="1"/>
  <c r="G192" i="22" s="1"/>
  <c r="J190" i="22"/>
  <c r="E190" i="22" s="1"/>
  <c r="G190" i="22" s="1"/>
  <c r="O188" i="22"/>
  <c r="E188" i="22"/>
  <c r="G188" i="22" s="1"/>
  <c r="O187" i="22"/>
  <c r="E187" i="22"/>
  <c r="G187" i="22" s="1"/>
  <c r="O186" i="22"/>
  <c r="F186" i="22" s="1"/>
  <c r="J186" i="22"/>
  <c r="E186" i="22"/>
  <c r="E184" i="22"/>
  <c r="G184" i="22" s="1"/>
  <c r="E182" i="22"/>
  <c r="G182" i="22" s="1"/>
  <c r="E181" i="22"/>
  <c r="G181" i="22" s="1"/>
  <c r="E180" i="22"/>
  <c r="G180" i="22" s="1"/>
  <c r="E179" i="22"/>
  <c r="G179" i="22" s="1"/>
  <c r="E178" i="22"/>
  <c r="G178" i="22" s="1"/>
  <c r="E177" i="22"/>
  <c r="G177" i="22" s="1"/>
  <c r="E176" i="22"/>
  <c r="G176" i="22" s="1"/>
  <c r="E175" i="22"/>
  <c r="G175" i="22" s="1"/>
  <c r="E174" i="22"/>
  <c r="G174" i="22" s="1"/>
  <c r="E173" i="22"/>
  <c r="G173" i="22" s="1"/>
  <c r="E172" i="22"/>
  <c r="G172" i="22" s="1"/>
  <c r="E171" i="22"/>
  <c r="G171" i="22" s="1"/>
  <c r="E170" i="22"/>
  <c r="G170" i="22" s="1"/>
  <c r="E169" i="22"/>
  <c r="G169" i="22" s="1"/>
  <c r="E168" i="22"/>
  <c r="G168" i="22" s="1"/>
  <c r="E167" i="22"/>
  <c r="G167" i="22" s="1"/>
  <c r="E166" i="22"/>
  <c r="G166" i="22" s="1"/>
  <c r="E165" i="22"/>
  <c r="G165" i="22" s="1"/>
  <c r="E164" i="22"/>
  <c r="G164" i="22" s="1"/>
  <c r="E162" i="22"/>
  <c r="G162" i="22" s="1"/>
  <c r="E161" i="22"/>
  <c r="G161" i="22" s="1"/>
  <c r="E160" i="22"/>
  <c r="G160" i="22" s="1"/>
  <c r="E159" i="22"/>
  <c r="G159" i="22" s="1"/>
  <c r="E158" i="22"/>
  <c r="G158" i="22" s="1"/>
  <c r="E157" i="22"/>
  <c r="G157" i="22" s="1"/>
  <c r="G156" i="22"/>
  <c r="E156" i="22"/>
  <c r="E155" i="22"/>
  <c r="G155" i="22" s="1"/>
  <c r="E154" i="22"/>
  <c r="G154" i="22" s="1"/>
  <c r="E153" i="22"/>
  <c r="G153" i="22" s="1"/>
  <c r="E152" i="22"/>
  <c r="G152" i="22" s="1"/>
  <c r="E151" i="22"/>
  <c r="G151" i="22" s="1"/>
  <c r="E149" i="22"/>
  <c r="G149" i="22" s="1"/>
  <c r="E148" i="22"/>
  <c r="G148" i="22" s="1"/>
  <c r="E147" i="22"/>
  <c r="G147" i="22" s="1"/>
  <c r="E146" i="22"/>
  <c r="G146" i="22" s="1"/>
  <c r="E145" i="22"/>
  <c r="G145" i="22" s="1"/>
  <c r="E144" i="22"/>
  <c r="G144" i="22" s="1"/>
  <c r="E143" i="22"/>
  <c r="G143" i="22" s="1"/>
  <c r="G142" i="22"/>
  <c r="E142" i="22"/>
  <c r="E141" i="22"/>
  <c r="G141" i="22" s="1"/>
  <c r="E140" i="22"/>
  <c r="G140" i="22" s="1"/>
  <c r="E139" i="22"/>
  <c r="G139" i="22" s="1"/>
  <c r="E138" i="22"/>
  <c r="G138" i="22" s="1"/>
  <c r="E137" i="22"/>
  <c r="G137" i="22" s="1"/>
  <c r="E136" i="22"/>
  <c r="G136" i="22" s="1"/>
  <c r="E135" i="22"/>
  <c r="G135" i="22" s="1"/>
  <c r="E134" i="22"/>
  <c r="G134" i="22" s="1"/>
  <c r="E133" i="22"/>
  <c r="G133" i="22" s="1"/>
  <c r="E132" i="22"/>
  <c r="G132" i="22" s="1"/>
  <c r="E131" i="22"/>
  <c r="G131" i="22" s="1"/>
  <c r="E130" i="22"/>
  <c r="G130" i="22" s="1"/>
  <c r="E129" i="22"/>
  <c r="G129" i="22" s="1"/>
  <c r="E128" i="22"/>
  <c r="G128" i="22" s="1"/>
  <c r="E127" i="22"/>
  <c r="G127" i="22" s="1"/>
  <c r="E126" i="22"/>
  <c r="G126" i="22" s="1"/>
  <c r="E125" i="22"/>
  <c r="G125" i="22" s="1"/>
  <c r="E124" i="22"/>
  <c r="G124" i="22" s="1"/>
  <c r="E123" i="22"/>
  <c r="G123" i="22" s="1"/>
  <c r="E122" i="22"/>
  <c r="G122" i="22" s="1"/>
  <c r="E121" i="22"/>
  <c r="G121" i="22" s="1"/>
  <c r="E120" i="22"/>
  <c r="G120" i="22" s="1"/>
  <c r="E119" i="22"/>
  <c r="G119" i="22" s="1"/>
  <c r="E117" i="22"/>
  <c r="G117" i="22" s="1"/>
  <c r="E116" i="22"/>
  <c r="G116" i="22" s="1"/>
  <c r="O115" i="22"/>
  <c r="J115" i="22"/>
  <c r="F115" i="22"/>
  <c r="E115" i="22"/>
  <c r="O114" i="22"/>
  <c r="J114" i="22"/>
  <c r="E114" i="22" s="1"/>
  <c r="G114" i="22" s="1"/>
  <c r="P113" i="22"/>
  <c r="F113" i="22" s="1"/>
  <c r="J113" i="22"/>
  <c r="E113" i="22" s="1"/>
  <c r="P112" i="22"/>
  <c r="F112" i="22" s="1"/>
  <c r="J112" i="22"/>
  <c r="E112" i="22"/>
  <c r="G112" i="22" s="1"/>
  <c r="P111" i="22"/>
  <c r="E111" i="22"/>
  <c r="G111" i="22" s="1"/>
  <c r="E109" i="22"/>
  <c r="G109" i="22" s="1"/>
  <c r="P108" i="22"/>
  <c r="E108" i="22"/>
  <c r="G108" i="22" s="1"/>
  <c r="O107" i="22"/>
  <c r="J107" i="22"/>
  <c r="E107" i="22"/>
  <c r="G107" i="22" s="1"/>
  <c r="O105" i="22"/>
  <c r="E105" i="22"/>
  <c r="G105" i="22" s="1"/>
  <c r="O104" i="22"/>
  <c r="F104" i="22" s="1"/>
  <c r="E104" i="22"/>
  <c r="O103" i="22"/>
  <c r="F103" i="22" s="1"/>
  <c r="E103" i="22"/>
  <c r="G103" i="22" s="1"/>
  <c r="F102" i="22"/>
  <c r="E102" i="22"/>
  <c r="F101" i="22"/>
  <c r="E101" i="22"/>
  <c r="G101" i="22" s="1"/>
  <c r="F100" i="22"/>
  <c r="E100" i="22"/>
  <c r="G100" i="22" s="1"/>
  <c r="F99" i="22"/>
  <c r="E99" i="22"/>
  <c r="F98" i="22"/>
  <c r="E98" i="22"/>
  <c r="O97" i="22"/>
  <c r="F97" i="22" s="1"/>
  <c r="E97" i="22"/>
  <c r="O96" i="22"/>
  <c r="F96" i="22"/>
  <c r="E96" i="22"/>
  <c r="G96" i="22" s="1"/>
  <c r="O95" i="22"/>
  <c r="F95" i="22" s="1"/>
  <c r="E95" i="22"/>
  <c r="O94" i="22"/>
  <c r="F94" i="22"/>
  <c r="E94" i="22"/>
  <c r="P93" i="22"/>
  <c r="O93" i="22"/>
  <c r="E93" i="22"/>
  <c r="G93" i="22" s="1"/>
  <c r="P92" i="22"/>
  <c r="O92" i="22"/>
  <c r="J92" i="22"/>
  <c r="E92" i="22" s="1"/>
  <c r="G92" i="22" s="1"/>
  <c r="P91" i="22"/>
  <c r="O91" i="22"/>
  <c r="E91" i="22"/>
  <c r="G91" i="22" s="1"/>
  <c r="P90" i="22"/>
  <c r="O90" i="22"/>
  <c r="J90" i="22"/>
  <c r="E90" i="22"/>
  <c r="G90" i="22" s="1"/>
  <c r="P89" i="22"/>
  <c r="O89" i="22"/>
  <c r="E89" i="22"/>
  <c r="G89" i="22" s="1"/>
  <c r="P88" i="22"/>
  <c r="O88" i="22"/>
  <c r="E88" i="22"/>
  <c r="G88" i="22" s="1"/>
  <c r="E87" i="22"/>
  <c r="G87" i="22" s="1"/>
  <c r="J86" i="22"/>
  <c r="E86" i="22"/>
  <c r="G86" i="22" s="1"/>
  <c r="J85" i="22"/>
  <c r="E85" i="22"/>
  <c r="G85" i="22" s="1"/>
  <c r="E84" i="22"/>
  <c r="G84" i="22" s="1"/>
  <c r="J83" i="22"/>
  <c r="E83" i="22" s="1"/>
  <c r="G83" i="22" s="1"/>
  <c r="J82" i="22"/>
  <c r="E82" i="22"/>
  <c r="G82" i="22" s="1"/>
  <c r="F81" i="22"/>
  <c r="E81" i="22"/>
  <c r="J80" i="22"/>
  <c r="O80" i="22" s="1"/>
  <c r="E80" i="22"/>
  <c r="G80" i="22" s="1"/>
  <c r="E78" i="22"/>
  <c r="G78" i="22" s="1"/>
  <c r="E77" i="22"/>
  <c r="G77" i="22" s="1"/>
  <c r="E76" i="22"/>
  <c r="G76" i="22" s="1"/>
  <c r="E74" i="22"/>
  <c r="G74" i="22" s="1"/>
  <c r="E73" i="22"/>
  <c r="G73" i="22" s="1"/>
  <c r="E72" i="22"/>
  <c r="G72" i="22" s="1"/>
  <c r="E69" i="22"/>
  <c r="G69" i="22" s="1"/>
  <c r="F68" i="22"/>
  <c r="E68" i="22"/>
  <c r="E67" i="22"/>
  <c r="G67" i="22" s="1"/>
  <c r="E66" i="22"/>
  <c r="G66" i="22" s="1"/>
  <c r="J64" i="22"/>
  <c r="E64" i="22" s="1"/>
  <c r="G64" i="22" s="1"/>
  <c r="J63" i="22"/>
  <c r="E63" i="22"/>
  <c r="G63" i="22" s="1"/>
  <c r="E62" i="22"/>
  <c r="G62" i="22" s="1"/>
  <c r="J61" i="22"/>
  <c r="E61" i="22"/>
  <c r="G61" i="22" s="1"/>
  <c r="J60" i="22"/>
  <c r="E60" i="22" s="1"/>
  <c r="G60" i="22" s="1"/>
  <c r="E59" i="22"/>
  <c r="G59" i="22" s="1"/>
  <c r="E58" i="22"/>
  <c r="G58" i="22" s="1"/>
  <c r="E57" i="22"/>
  <c r="G57" i="22" s="1"/>
  <c r="E56" i="22"/>
  <c r="G56" i="22" s="1"/>
  <c r="E55" i="22"/>
  <c r="G55" i="22" s="1"/>
  <c r="E54" i="22"/>
  <c r="G54" i="22" s="1"/>
  <c r="E53" i="22"/>
  <c r="G53" i="22" s="1"/>
  <c r="J52" i="22"/>
  <c r="E52" i="22" s="1"/>
  <c r="G52" i="22" s="1"/>
  <c r="F51" i="22"/>
  <c r="G51" i="22" s="1"/>
  <c r="F50" i="22"/>
  <c r="G50" i="22" s="1"/>
  <c r="N65" i="21"/>
  <c r="N70" i="21" s="1"/>
  <c r="N76" i="21"/>
  <c r="E76" i="21" s="1"/>
  <c r="G76" i="21" s="1"/>
  <c r="N91" i="21"/>
  <c r="N112" i="21"/>
  <c r="N114" i="21"/>
  <c r="N116" i="21"/>
  <c r="N258" i="21"/>
  <c r="E86" i="13"/>
  <c r="G86" i="13" s="1"/>
  <c r="E242" i="21"/>
  <c r="G242" i="21" s="1"/>
  <c r="E241" i="21"/>
  <c r="G241" i="21" s="1"/>
  <c r="E240" i="21"/>
  <c r="G240" i="21" s="1"/>
  <c r="E239" i="21"/>
  <c r="G239" i="21" s="1"/>
  <c r="E83" i="12"/>
  <c r="G83" i="12" s="1"/>
  <c r="E82" i="12"/>
  <c r="G82" i="12" s="1"/>
  <c r="E81" i="12"/>
  <c r="G81" i="12" s="1"/>
  <c r="E80" i="12"/>
  <c r="G80" i="12" s="1"/>
  <c r="E223" i="21"/>
  <c r="G223" i="21" s="1"/>
  <c r="E224" i="21"/>
  <c r="G224" i="21" s="1"/>
  <c r="E225" i="21"/>
  <c r="G225" i="21" s="1"/>
  <c r="E226" i="21"/>
  <c r="G226" i="21" s="1"/>
  <c r="E227" i="21"/>
  <c r="G227" i="21" s="1"/>
  <c r="E228" i="21"/>
  <c r="G228" i="21" s="1"/>
  <c r="E229" i="21"/>
  <c r="G229" i="21" s="1"/>
  <c r="E230" i="21"/>
  <c r="G230" i="21" s="1"/>
  <c r="E231" i="21"/>
  <c r="G231" i="21" s="1"/>
  <c r="E232" i="21"/>
  <c r="G232" i="21" s="1"/>
  <c r="E233" i="21"/>
  <c r="G233" i="21" s="1"/>
  <c r="E234" i="21"/>
  <c r="G234" i="21" s="1"/>
  <c r="E235" i="21"/>
  <c r="G235" i="21" s="1"/>
  <c r="E236" i="21"/>
  <c r="G236" i="21" s="1"/>
  <c r="E237" i="21"/>
  <c r="G237" i="21" s="1"/>
  <c r="E238" i="21"/>
  <c r="G238" i="21" s="1"/>
  <c r="E213" i="21"/>
  <c r="G213" i="21" s="1"/>
  <c r="E214" i="21"/>
  <c r="G214" i="21" s="1"/>
  <c r="E215" i="21"/>
  <c r="G215" i="21" s="1"/>
  <c r="E216" i="21"/>
  <c r="G216" i="21" s="1"/>
  <c r="E217" i="21"/>
  <c r="G217" i="21" s="1"/>
  <c r="E218" i="21"/>
  <c r="G218" i="21" s="1"/>
  <c r="E219" i="21"/>
  <c r="G219" i="21" s="1"/>
  <c r="E220" i="21"/>
  <c r="G220" i="21" s="1"/>
  <c r="E221" i="21"/>
  <c r="G221" i="21" s="1"/>
  <c r="E222" i="21"/>
  <c r="G222" i="21" s="1"/>
  <c r="E212" i="21"/>
  <c r="G212" i="21" s="1"/>
  <c r="E196" i="21"/>
  <c r="G196" i="21" s="1"/>
  <c r="E172" i="21"/>
  <c r="G172" i="21" s="1"/>
  <c r="J258" i="21"/>
  <c r="H258" i="21"/>
  <c r="J256" i="21"/>
  <c r="E256" i="21" s="1"/>
  <c r="G256" i="21" s="1"/>
  <c r="O254" i="21"/>
  <c r="E254" i="21"/>
  <c r="G254" i="21" s="1"/>
  <c r="O253" i="21"/>
  <c r="E253" i="21"/>
  <c r="G253" i="21" s="1"/>
  <c r="O252" i="21"/>
  <c r="F252" i="21" s="1"/>
  <c r="J252" i="21"/>
  <c r="E252" i="21" s="1"/>
  <c r="E250" i="21"/>
  <c r="G250" i="21" s="1"/>
  <c r="E248" i="21"/>
  <c r="G248" i="21" s="1"/>
  <c r="E247" i="21"/>
  <c r="G247" i="21" s="1"/>
  <c r="E246" i="21"/>
  <c r="G246" i="21" s="1"/>
  <c r="E245" i="21"/>
  <c r="G245" i="21" s="1"/>
  <c r="E244" i="21"/>
  <c r="G244" i="21" s="1"/>
  <c r="E243" i="21"/>
  <c r="G243" i="21" s="1"/>
  <c r="E211" i="21"/>
  <c r="G211" i="21" s="1"/>
  <c r="E210" i="21"/>
  <c r="G210" i="21" s="1"/>
  <c r="E209" i="21"/>
  <c r="G209" i="21" s="1"/>
  <c r="E208" i="21"/>
  <c r="G208" i="21" s="1"/>
  <c r="E207" i="21"/>
  <c r="G207" i="21" s="1"/>
  <c r="E206" i="21"/>
  <c r="G206" i="21" s="1"/>
  <c r="E205" i="21"/>
  <c r="G205" i="21" s="1"/>
  <c r="E204" i="21"/>
  <c r="G204" i="21" s="1"/>
  <c r="E203" i="21"/>
  <c r="G203" i="21" s="1"/>
  <c r="E202" i="21"/>
  <c r="G202" i="21" s="1"/>
  <c r="E201" i="21"/>
  <c r="G201" i="21" s="1"/>
  <c r="E200" i="21"/>
  <c r="G200" i="21" s="1"/>
  <c r="E199" i="21"/>
  <c r="E198" i="21"/>
  <c r="G198" i="21" s="1"/>
  <c r="E197" i="21"/>
  <c r="G197" i="21" s="1"/>
  <c r="E195" i="21"/>
  <c r="G195" i="21" s="1"/>
  <c r="E194" i="21"/>
  <c r="G194" i="21" s="1"/>
  <c r="E193" i="21"/>
  <c r="G193" i="21" s="1"/>
  <c r="E192" i="21"/>
  <c r="G192" i="21" s="1"/>
  <c r="E191" i="21"/>
  <c r="G191" i="21" s="1"/>
  <c r="E190" i="21"/>
  <c r="G190" i="21" s="1"/>
  <c r="E188" i="21"/>
  <c r="G188" i="21" s="1"/>
  <c r="E187" i="21"/>
  <c r="G187" i="21" s="1"/>
  <c r="E186" i="21"/>
  <c r="G186" i="21" s="1"/>
  <c r="E185" i="21"/>
  <c r="G185" i="21" s="1"/>
  <c r="E184" i="21"/>
  <c r="E183" i="21"/>
  <c r="G183" i="21" s="1"/>
  <c r="E182" i="21"/>
  <c r="G182" i="21" s="1"/>
  <c r="E181" i="21"/>
  <c r="E180" i="21"/>
  <c r="G180" i="21" s="1"/>
  <c r="E179" i="21"/>
  <c r="E178" i="21"/>
  <c r="G178" i="21" s="1"/>
  <c r="E177" i="21"/>
  <c r="G177" i="21" s="1"/>
  <c r="E176" i="21"/>
  <c r="G176" i="21" s="1"/>
  <c r="E175" i="21"/>
  <c r="G175" i="21" s="1"/>
  <c r="E174" i="21"/>
  <c r="G174" i="21" s="1"/>
  <c r="E171" i="21"/>
  <c r="G171" i="21" s="1"/>
  <c r="E170" i="21"/>
  <c r="G170" i="21" s="1"/>
  <c r="E169" i="21"/>
  <c r="G169" i="21" s="1"/>
  <c r="E168" i="21"/>
  <c r="G168" i="21" s="1"/>
  <c r="E167" i="21"/>
  <c r="G167" i="21" s="1"/>
  <c r="E166" i="21"/>
  <c r="G166" i="21" s="1"/>
  <c r="E165" i="21"/>
  <c r="G165" i="21" s="1"/>
  <c r="E164" i="21"/>
  <c r="G164" i="21" s="1"/>
  <c r="E163" i="21"/>
  <c r="G163" i="21" s="1"/>
  <c r="E161" i="21"/>
  <c r="G161" i="21" s="1"/>
  <c r="E160" i="21"/>
  <c r="G160" i="21" s="1"/>
  <c r="E159" i="21"/>
  <c r="G159" i="21" s="1"/>
  <c r="E158" i="21"/>
  <c r="G158" i="21" s="1"/>
  <c r="E157" i="21"/>
  <c r="G157" i="21" s="1"/>
  <c r="E156" i="21"/>
  <c r="G156" i="21" s="1"/>
  <c r="E155" i="21"/>
  <c r="G155" i="21" s="1"/>
  <c r="E154" i="21"/>
  <c r="G154" i="21" s="1"/>
  <c r="E153" i="21"/>
  <c r="G153" i="21" s="1"/>
  <c r="E152" i="21"/>
  <c r="G152" i="21" s="1"/>
  <c r="E151" i="21"/>
  <c r="G151" i="21" s="1"/>
  <c r="E150" i="21"/>
  <c r="G150" i="21" s="1"/>
  <c r="E148" i="21"/>
  <c r="G148" i="21" s="1"/>
  <c r="E147" i="21"/>
  <c r="G147" i="21" s="1"/>
  <c r="E146" i="21"/>
  <c r="G146" i="21" s="1"/>
  <c r="E145" i="21"/>
  <c r="G145" i="21" s="1"/>
  <c r="E144" i="21"/>
  <c r="G144" i="21" s="1"/>
  <c r="E143" i="21"/>
  <c r="G143" i="21" s="1"/>
  <c r="E142" i="21"/>
  <c r="G142" i="21" s="1"/>
  <c r="E141" i="21"/>
  <c r="G141" i="21" s="1"/>
  <c r="E140" i="21"/>
  <c r="G140" i="21" s="1"/>
  <c r="E139" i="21"/>
  <c r="G139" i="21" s="1"/>
  <c r="E138" i="21"/>
  <c r="G138" i="21" s="1"/>
  <c r="E137" i="21"/>
  <c r="G137" i="21" s="1"/>
  <c r="E136" i="21"/>
  <c r="G136" i="21" s="1"/>
  <c r="E135" i="21"/>
  <c r="G135" i="21" s="1"/>
  <c r="E134" i="21"/>
  <c r="G134" i="21" s="1"/>
  <c r="E133" i="21"/>
  <c r="G133" i="21" s="1"/>
  <c r="E132" i="21"/>
  <c r="G132" i="21" s="1"/>
  <c r="E131" i="21"/>
  <c r="G131" i="21" s="1"/>
  <c r="E130" i="21"/>
  <c r="G130" i="21" s="1"/>
  <c r="E129" i="21"/>
  <c r="G129" i="21" s="1"/>
  <c r="E128" i="21"/>
  <c r="G128" i="21" s="1"/>
  <c r="E127" i="21"/>
  <c r="G127" i="21" s="1"/>
  <c r="E126" i="21"/>
  <c r="G126" i="21" s="1"/>
  <c r="E125" i="21"/>
  <c r="G125" i="21" s="1"/>
  <c r="E124" i="21"/>
  <c r="G124" i="21" s="1"/>
  <c r="E123" i="21"/>
  <c r="G123" i="21" s="1"/>
  <c r="E122" i="21"/>
  <c r="G122" i="21" s="1"/>
  <c r="E121" i="21"/>
  <c r="G121" i="21" s="1"/>
  <c r="E120" i="21"/>
  <c r="G120" i="21" s="1"/>
  <c r="E119" i="21"/>
  <c r="G119" i="21" s="1"/>
  <c r="E118" i="21"/>
  <c r="G118" i="21" s="1"/>
  <c r="E116" i="21"/>
  <c r="G116" i="21" s="1"/>
  <c r="E115" i="21"/>
  <c r="G115" i="21" s="1"/>
  <c r="O114" i="21"/>
  <c r="F114" i="21" s="1"/>
  <c r="J114" i="21"/>
  <c r="P113" i="21"/>
  <c r="F113" i="21" s="1"/>
  <c r="J113" i="21"/>
  <c r="E113" i="21" s="1"/>
  <c r="P112" i="21"/>
  <c r="F112" i="21" s="1"/>
  <c r="J112" i="21"/>
  <c r="H112" i="21"/>
  <c r="P111" i="21"/>
  <c r="E111" i="21"/>
  <c r="G111" i="21" s="1"/>
  <c r="E109" i="21"/>
  <c r="G109" i="21" s="1"/>
  <c r="P108" i="21"/>
  <c r="E108" i="21"/>
  <c r="G108" i="21" s="1"/>
  <c r="O107" i="21"/>
  <c r="J107" i="21"/>
  <c r="E107" i="21" s="1"/>
  <c r="G107" i="21" s="1"/>
  <c r="O105" i="21"/>
  <c r="E105" i="21"/>
  <c r="G105" i="21" s="1"/>
  <c r="O104" i="21"/>
  <c r="F104" i="21" s="1"/>
  <c r="E104" i="21"/>
  <c r="O103" i="21"/>
  <c r="F103" i="21" s="1"/>
  <c r="E103" i="21"/>
  <c r="F102" i="21"/>
  <c r="E102" i="21"/>
  <c r="F101" i="21"/>
  <c r="E101" i="21"/>
  <c r="F100" i="21"/>
  <c r="E100" i="21"/>
  <c r="F99" i="21"/>
  <c r="E99" i="21"/>
  <c r="F98" i="21"/>
  <c r="E98" i="21"/>
  <c r="O97" i="21"/>
  <c r="F97" i="21" s="1"/>
  <c r="E97" i="21"/>
  <c r="O96" i="21"/>
  <c r="F96" i="21" s="1"/>
  <c r="E96" i="21"/>
  <c r="O95" i="21"/>
  <c r="F95" i="21" s="1"/>
  <c r="E95" i="21"/>
  <c r="O94" i="21"/>
  <c r="F94" i="21" s="1"/>
  <c r="E94" i="21"/>
  <c r="P93" i="21"/>
  <c r="O93" i="21"/>
  <c r="E93" i="21"/>
  <c r="G93" i="21" s="1"/>
  <c r="P92" i="21"/>
  <c r="O92" i="21"/>
  <c r="J92" i="21"/>
  <c r="E92" i="21" s="1"/>
  <c r="G92" i="21" s="1"/>
  <c r="P91" i="21"/>
  <c r="O91" i="21"/>
  <c r="E91" i="21"/>
  <c r="G91" i="21" s="1"/>
  <c r="P90" i="21"/>
  <c r="O90" i="21"/>
  <c r="J90" i="21"/>
  <c r="E90" i="21" s="1"/>
  <c r="G90" i="21" s="1"/>
  <c r="P89" i="21"/>
  <c r="O89" i="21"/>
  <c r="E89" i="21"/>
  <c r="G89" i="21" s="1"/>
  <c r="P88" i="21"/>
  <c r="O88" i="21"/>
  <c r="E88" i="21"/>
  <c r="G88" i="21" s="1"/>
  <c r="E87" i="21"/>
  <c r="G87" i="21" s="1"/>
  <c r="J86" i="21"/>
  <c r="E86" i="21" s="1"/>
  <c r="G86" i="21" s="1"/>
  <c r="J85" i="21"/>
  <c r="H85" i="21"/>
  <c r="E84" i="21"/>
  <c r="G84" i="21" s="1"/>
  <c r="J83" i="21"/>
  <c r="E83" i="21" s="1"/>
  <c r="G83" i="21" s="1"/>
  <c r="J82" i="21"/>
  <c r="H82" i="21"/>
  <c r="F81" i="21"/>
  <c r="E81" i="21"/>
  <c r="J80" i="21"/>
  <c r="E80" i="21" s="1"/>
  <c r="G80" i="21" s="1"/>
  <c r="E78" i="21"/>
  <c r="G78" i="21" s="1"/>
  <c r="E77" i="21"/>
  <c r="G77" i="21" s="1"/>
  <c r="E74" i="21"/>
  <c r="G74" i="21" s="1"/>
  <c r="E73" i="21"/>
  <c r="G73" i="21" s="1"/>
  <c r="E72" i="21"/>
  <c r="G72" i="21" s="1"/>
  <c r="I71" i="21"/>
  <c r="I70" i="21"/>
  <c r="E69" i="21"/>
  <c r="G69" i="21" s="1"/>
  <c r="F68" i="21"/>
  <c r="E68" i="21"/>
  <c r="E67" i="21"/>
  <c r="G67" i="21" s="1"/>
  <c r="E66" i="21"/>
  <c r="G66" i="21" s="1"/>
  <c r="J64" i="21"/>
  <c r="E64" i="21" s="1"/>
  <c r="G64" i="21" s="1"/>
  <c r="J63" i="21"/>
  <c r="E63" i="21" s="1"/>
  <c r="G63" i="21" s="1"/>
  <c r="E62" i="21"/>
  <c r="G62" i="21" s="1"/>
  <c r="J61" i="21"/>
  <c r="H61" i="21"/>
  <c r="H71" i="21" s="1"/>
  <c r="J60" i="21"/>
  <c r="E60" i="21" s="1"/>
  <c r="G60" i="21" s="1"/>
  <c r="E59" i="21"/>
  <c r="G59" i="21" s="1"/>
  <c r="E58" i="21"/>
  <c r="G58" i="21" s="1"/>
  <c r="E57" i="21"/>
  <c r="G57" i="21" s="1"/>
  <c r="E56" i="21"/>
  <c r="G56" i="21" s="1"/>
  <c r="E55" i="21"/>
  <c r="G55" i="21" s="1"/>
  <c r="E54" i="21"/>
  <c r="G54" i="21" s="1"/>
  <c r="E53" i="21"/>
  <c r="G53" i="21" s="1"/>
  <c r="J52" i="21"/>
  <c r="I52" i="21"/>
  <c r="H52" i="21"/>
  <c r="F51" i="21"/>
  <c r="G51" i="21" s="1"/>
  <c r="F50" i="21"/>
  <c r="G50" i="21" s="1"/>
  <c r="H68" i="18"/>
  <c r="E68" i="18" s="1"/>
  <c r="G68" i="18" s="1"/>
  <c r="O66" i="18"/>
  <c r="O65" i="18"/>
  <c r="P63" i="18"/>
  <c r="H63" i="18"/>
  <c r="E63" i="18" s="1"/>
  <c r="P62" i="18"/>
  <c r="O60" i="18"/>
  <c r="H59" i="18"/>
  <c r="E59" i="18" s="1"/>
  <c r="G59" i="18" s="1"/>
  <c r="H58" i="18"/>
  <c r="I55" i="18"/>
  <c r="H55" i="18"/>
  <c r="E55" i="18" s="1"/>
  <c r="G55" i="18" s="1"/>
  <c r="I54" i="18"/>
  <c r="H51" i="18"/>
  <c r="H54" i="18" s="1"/>
  <c r="I48" i="18"/>
  <c r="H48" i="18"/>
  <c r="E48" i="18" s="1"/>
  <c r="G48" i="18" s="1"/>
  <c r="C39" i="26" l="1"/>
  <c r="C40" i="26" s="1"/>
  <c r="C41" i="26" s="1"/>
  <c r="C42" i="26" s="1"/>
  <c r="C44" i="26" s="1"/>
  <c r="C45" i="26" s="1"/>
  <c r="C46" i="26" s="1"/>
  <c r="C48" i="26" s="1"/>
  <c r="C49" i="26" s="1"/>
  <c r="C50" i="26" s="1"/>
  <c r="E54" i="18"/>
  <c r="G54" i="18" s="1"/>
  <c r="G69" i="18" s="1"/>
  <c r="G63" i="18"/>
  <c r="E51" i="18"/>
  <c r="G51" i="18" s="1"/>
  <c r="G57" i="18"/>
  <c r="N71" i="21"/>
  <c r="G113" i="22"/>
  <c r="G97" i="22"/>
  <c r="G81" i="22"/>
  <c r="G99" i="22"/>
  <c r="G94" i="22"/>
  <c r="G102" i="22"/>
  <c r="G115" i="22"/>
  <c r="G95" i="22"/>
  <c r="G98" i="22"/>
  <c r="G186" i="22"/>
  <c r="G68" i="22"/>
  <c r="G104" i="22"/>
  <c r="J70" i="22"/>
  <c r="E65" i="22"/>
  <c r="G65" i="22" s="1"/>
  <c r="J71" i="22"/>
  <c r="E71" i="22" s="1"/>
  <c r="G71" i="22" s="1"/>
  <c r="E114" i="21"/>
  <c r="G114" i="21" s="1"/>
  <c r="G103" i="21"/>
  <c r="G99" i="21"/>
  <c r="G100" i="21"/>
  <c r="G81" i="21"/>
  <c r="J71" i="21"/>
  <c r="E61" i="21"/>
  <c r="G61" i="21" s="1"/>
  <c r="E52" i="21"/>
  <c r="G52" i="21" s="1"/>
  <c r="G68" i="21"/>
  <c r="G97" i="21"/>
  <c r="G104" i="21"/>
  <c r="G98" i="21"/>
  <c r="E65" i="21"/>
  <c r="G65" i="21" s="1"/>
  <c r="E82" i="21"/>
  <c r="G82" i="21" s="1"/>
  <c r="E112" i="21"/>
  <c r="G112" i="21" s="1"/>
  <c r="E258" i="21"/>
  <c r="G258" i="21" s="1"/>
  <c r="G113" i="21"/>
  <c r="G179" i="21"/>
  <c r="E85" i="21"/>
  <c r="G85" i="21" s="1"/>
  <c r="G102" i="21"/>
  <c r="G252" i="21"/>
  <c r="G181" i="21"/>
  <c r="O80" i="21"/>
  <c r="G96" i="21"/>
  <c r="G95" i="21"/>
  <c r="G184" i="21"/>
  <c r="G199" i="21"/>
  <c r="G94" i="21"/>
  <c r="G101" i="21"/>
  <c r="H70" i="21"/>
  <c r="J70" i="21"/>
  <c r="C52" i="26" l="1"/>
  <c r="C53" i="26" s="1"/>
  <c r="C21" i="10"/>
  <c r="D21" i="10" s="1"/>
  <c r="E21" i="10" s="1"/>
  <c r="G152" i="16"/>
  <c r="E70" i="22"/>
  <c r="G70" i="22" s="1"/>
  <c r="G193" i="22" s="1"/>
  <c r="E71" i="21"/>
  <c r="G71" i="21" s="1"/>
  <c r="E70" i="21"/>
  <c r="G70" i="21" s="1"/>
  <c r="G259" i="21" s="1"/>
  <c r="N229" i="15"/>
  <c r="J229" i="15"/>
  <c r="H229" i="15"/>
  <c r="J227" i="15"/>
  <c r="E227" i="15"/>
  <c r="G227" i="15" s="1"/>
  <c r="O225" i="15"/>
  <c r="G225" i="15"/>
  <c r="E225" i="15"/>
  <c r="O224" i="15"/>
  <c r="G224" i="15"/>
  <c r="E224" i="15"/>
  <c r="O223" i="15"/>
  <c r="F223" i="15" s="1"/>
  <c r="J223" i="15"/>
  <c r="E223" i="15" s="1"/>
  <c r="E221" i="15"/>
  <c r="G221" i="15" s="1"/>
  <c r="E219" i="15"/>
  <c r="G219" i="15" s="1"/>
  <c r="E218" i="15"/>
  <c r="G218" i="15" s="1"/>
  <c r="E217" i="15"/>
  <c r="G217" i="15" s="1"/>
  <c r="E216" i="15"/>
  <c r="G216" i="15" s="1"/>
  <c r="G215" i="15"/>
  <c r="E215" i="15"/>
  <c r="E214" i="15"/>
  <c r="G214" i="15" s="1"/>
  <c r="E213" i="15"/>
  <c r="G213" i="15" s="1"/>
  <c r="E212" i="15"/>
  <c r="G212" i="15" s="1"/>
  <c r="E211" i="15"/>
  <c r="G211" i="15" s="1"/>
  <c r="E210" i="15"/>
  <c r="G210" i="15" s="1"/>
  <c r="E209" i="15"/>
  <c r="G209" i="15" s="1"/>
  <c r="G208" i="15"/>
  <c r="E208" i="15"/>
  <c r="E207" i="15"/>
  <c r="G207" i="15" s="1"/>
  <c r="E206" i="15"/>
  <c r="G206" i="15" s="1"/>
  <c r="E205" i="15"/>
  <c r="G205" i="15" s="1"/>
  <c r="E204" i="15"/>
  <c r="G204" i="15" s="1"/>
  <c r="E203" i="15"/>
  <c r="G203" i="15" s="1"/>
  <c r="E202" i="15"/>
  <c r="G202" i="15" s="1"/>
  <c r="G201" i="15"/>
  <c r="F201" i="15"/>
  <c r="E201" i="15"/>
  <c r="E200" i="15"/>
  <c r="G200" i="15" s="1"/>
  <c r="E199" i="15"/>
  <c r="G199" i="15" s="1"/>
  <c r="E198" i="15"/>
  <c r="G198" i="15" s="1"/>
  <c r="E197" i="15"/>
  <c r="G197" i="15" s="1"/>
  <c r="E196" i="15"/>
  <c r="G196" i="15" s="1"/>
  <c r="E195" i="15"/>
  <c r="G195" i="15" s="1"/>
  <c r="G194" i="15"/>
  <c r="E194" i="15"/>
  <c r="G193" i="15"/>
  <c r="E193" i="15"/>
  <c r="E192" i="15"/>
  <c r="G192" i="15" s="1"/>
  <c r="E191" i="15"/>
  <c r="G191" i="15" s="1"/>
  <c r="E190" i="15"/>
  <c r="G190" i="15" s="1"/>
  <c r="F189" i="15"/>
  <c r="E189" i="15"/>
  <c r="E188" i="15"/>
  <c r="G188" i="15" s="1"/>
  <c r="F187" i="15"/>
  <c r="E187" i="15"/>
  <c r="G187" i="15" s="1"/>
  <c r="E186" i="15"/>
  <c r="G186" i="15" s="1"/>
  <c r="G185" i="15"/>
  <c r="F185" i="15"/>
  <c r="E185" i="15"/>
  <c r="F184" i="15"/>
  <c r="E184" i="15"/>
  <c r="G184" i="15" s="1"/>
  <c r="F183" i="15"/>
  <c r="E183" i="15"/>
  <c r="G183" i="15" s="1"/>
  <c r="F182" i="15"/>
  <c r="E182" i="15"/>
  <c r="E180" i="15"/>
  <c r="G180" i="15" s="1"/>
  <c r="E179" i="15"/>
  <c r="G179" i="15" s="1"/>
  <c r="E177" i="15"/>
  <c r="G177" i="15" s="1"/>
  <c r="E176" i="15"/>
  <c r="G176" i="15" s="1"/>
  <c r="E175" i="15"/>
  <c r="G175" i="15" s="1"/>
  <c r="E173" i="15"/>
  <c r="G173" i="15" s="1"/>
  <c r="E172" i="15"/>
  <c r="G172" i="15" s="1"/>
  <c r="E171" i="15"/>
  <c r="G171" i="15" s="1"/>
  <c r="E170" i="15"/>
  <c r="G170" i="15" s="1"/>
  <c r="E169" i="15"/>
  <c r="G169" i="15" s="1"/>
  <c r="E168" i="15"/>
  <c r="G168" i="15" s="1"/>
  <c r="E167" i="15"/>
  <c r="G167" i="15" s="1"/>
  <c r="E166" i="15"/>
  <c r="G166" i="15" s="1"/>
  <c r="E165" i="15"/>
  <c r="G165" i="15" s="1"/>
  <c r="E164" i="15"/>
  <c r="G164" i="15" s="1"/>
  <c r="G162" i="15"/>
  <c r="E162" i="15"/>
  <c r="E161" i="15"/>
  <c r="G161" i="15" s="1"/>
  <c r="E160" i="15"/>
  <c r="G160" i="15" s="1"/>
  <c r="E159" i="15"/>
  <c r="G159" i="15" s="1"/>
  <c r="E158" i="15"/>
  <c r="G158" i="15" s="1"/>
  <c r="E157" i="15"/>
  <c r="G157" i="15" s="1"/>
  <c r="E156" i="15"/>
  <c r="G156" i="15" s="1"/>
  <c r="E155" i="15"/>
  <c r="G155" i="15" s="1"/>
  <c r="E154" i="15"/>
  <c r="G154" i="15" s="1"/>
  <c r="E153" i="15"/>
  <c r="G153" i="15" s="1"/>
  <c r="G152" i="15"/>
  <c r="E152" i="15"/>
  <c r="E151" i="15"/>
  <c r="G151" i="15" s="1"/>
  <c r="E149" i="15"/>
  <c r="G149" i="15" s="1"/>
  <c r="E148" i="15"/>
  <c r="G148" i="15" s="1"/>
  <c r="E147" i="15"/>
  <c r="G147" i="15" s="1"/>
  <c r="E146" i="15"/>
  <c r="G146" i="15" s="1"/>
  <c r="E145" i="15"/>
  <c r="G145" i="15" s="1"/>
  <c r="E144" i="15"/>
  <c r="G144" i="15" s="1"/>
  <c r="E143" i="15"/>
  <c r="G143" i="15" s="1"/>
  <c r="G142" i="15"/>
  <c r="E142" i="15"/>
  <c r="G141" i="15"/>
  <c r="E141" i="15"/>
  <c r="E140" i="15"/>
  <c r="G140" i="15" s="1"/>
  <c r="E139" i="15"/>
  <c r="G139" i="15" s="1"/>
  <c r="E138" i="15"/>
  <c r="G138" i="15" s="1"/>
  <c r="E137" i="15"/>
  <c r="G137" i="15" s="1"/>
  <c r="E136" i="15"/>
  <c r="G136" i="15" s="1"/>
  <c r="E135" i="15"/>
  <c r="G135" i="15" s="1"/>
  <c r="E134" i="15"/>
  <c r="G134" i="15" s="1"/>
  <c r="E133" i="15"/>
  <c r="G133" i="15" s="1"/>
  <c r="E132" i="15"/>
  <c r="G132" i="15" s="1"/>
  <c r="E131" i="15"/>
  <c r="G131" i="15" s="1"/>
  <c r="E130" i="15"/>
  <c r="G130" i="15" s="1"/>
  <c r="E129" i="15"/>
  <c r="G129" i="15" s="1"/>
  <c r="E128" i="15"/>
  <c r="G128" i="15" s="1"/>
  <c r="E127" i="15"/>
  <c r="G127" i="15" s="1"/>
  <c r="E126" i="15"/>
  <c r="G126" i="15" s="1"/>
  <c r="E125" i="15"/>
  <c r="G125" i="15" s="1"/>
  <c r="E124" i="15"/>
  <c r="G124" i="15" s="1"/>
  <c r="E123" i="15"/>
  <c r="G123" i="15" s="1"/>
  <c r="E122" i="15"/>
  <c r="G122" i="15" s="1"/>
  <c r="E121" i="15"/>
  <c r="G121" i="15" s="1"/>
  <c r="E120" i="15"/>
  <c r="G120" i="15" s="1"/>
  <c r="E119" i="15"/>
  <c r="G119" i="15" s="1"/>
  <c r="N117" i="15"/>
  <c r="E117" i="15" s="1"/>
  <c r="G117" i="15" s="1"/>
  <c r="E116" i="15"/>
  <c r="G116" i="15" s="1"/>
  <c r="O115" i="15"/>
  <c r="N115" i="15"/>
  <c r="J115" i="15"/>
  <c r="E115" i="15" s="1"/>
  <c r="F115" i="15"/>
  <c r="O114" i="15"/>
  <c r="J114" i="15"/>
  <c r="E114" i="15" s="1"/>
  <c r="G114" i="15" s="1"/>
  <c r="P113" i="15"/>
  <c r="F113" i="15" s="1"/>
  <c r="J113" i="15"/>
  <c r="E113" i="15" s="1"/>
  <c r="P112" i="15"/>
  <c r="F112" i="15" s="1"/>
  <c r="N112" i="15"/>
  <c r="J112" i="15"/>
  <c r="H112" i="15"/>
  <c r="E112" i="15" s="1"/>
  <c r="P111" i="15"/>
  <c r="E111" i="15"/>
  <c r="G111" i="15" s="1"/>
  <c r="E109" i="15"/>
  <c r="G109" i="15" s="1"/>
  <c r="P108" i="15"/>
  <c r="E108" i="15"/>
  <c r="G108" i="15" s="1"/>
  <c r="O107" i="15"/>
  <c r="J107" i="15"/>
  <c r="E107" i="15" s="1"/>
  <c r="G107" i="15" s="1"/>
  <c r="O105" i="15"/>
  <c r="E105" i="15"/>
  <c r="G105" i="15" s="1"/>
  <c r="O104" i="15"/>
  <c r="F104" i="15" s="1"/>
  <c r="E104" i="15"/>
  <c r="O103" i="15"/>
  <c r="F103" i="15" s="1"/>
  <c r="E103" i="15"/>
  <c r="F102" i="15"/>
  <c r="E102" i="15"/>
  <c r="F101" i="15"/>
  <c r="E101" i="15"/>
  <c r="F100" i="15"/>
  <c r="E100" i="15"/>
  <c r="F99" i="15"/>
  <c r="E99" i="15"/>
  <c r="G99" i="15" s="1"/>
  <c r="F98" i="15"/>
  <c r="E98" i="15"/>
  <c r="O97" i="15"/>
  <c r="F97" i="15" s="1"/>
  <c r="E97" i="15"/>
  <c r="O96" i="15"/>
  <c r="F96" i="15" s="1"/>
  <c r="E96" i="15"/>
  <c r="O95" i="15"/>
  <c r="F95" i="15"/>
  <c r="G95" i="15" s="1"/>
  <c r="E95" i="15"/>
  <c r="O94" i="15"/>
  <c r="F94" i="15" s="1"/>
  <c r="E94" i="15"/>
  <c r="P93" i="15"/>
  <c r="O93" i="15"/>
  <c r="G93" i="15"/>
  <c r="E93" i="15"/>
  <c r="P92" i="15"/>
  <c r="O92" i="15"/>
  <c r="J92" i="15"/>
  <c r="E92" i="15"/>
  <c r="G92" i="15" s="1"/>
  <c r="P91" i="15"/>
  <c r="O91" i="15"/>
  <c r="N91" i="15"/>
  <c r="E91" i="15" s="1"/>
  <c r="G91" i="15" s="1"/>
  <c r="P90" i="15"/>
  <c r="O90" i="15"/>
  <c r="J90" i="15"/>
  <c r="E90" i="15" s="1"/>
  <c r="G90" i="15" s="1"/>
  <c r="P89" i="15"/>
  <c r="O89" i="15"/>
  <c r="E89" i="15"/>
  <c r="G89" i="15" s="1"/>
  <c r="P88" i="15"/>
  <c r="O88" i="15"/>
  <c r="E88" i="15"/>
  <c r="G88" i="15" s="1"/>
  <c r="E87" i="15"/>
  <c r="G87" i="15" s="1"/>
  <c r="J86" i="15"/>
  <c r="E86" i="15" s="1"/>
  <c r="G86" i="15" s="1"/>
  <c r="J85" i="15"/>
  <c r="H85" i="15"/>
  <c r="E85" i="15" s="1"/>
  <c r="G85" i="15" s="1"/>
  <c r="E84" i="15"/>
  <c r="G84" i="15" s="1"/>
  <c r="J83" i="15"/>
  <c r="E83" i="15"/>
  <c r="G83" i="15" s="1"/>
  <c r="J82" i="15"/>
  <c r="H82" i="15"/>
  <c r="F81" i="15"/>
  <c r="E81" i="15"/>
  <c r="J80" i="15"/>
  <c r="O80" i="15" s="1"/>
  <c r="E80" i="15"/>
  <c r="G80" i="15" s="1"/>
  <c r="E78" i="15"/>
  <c r="G78" i="15" s="1"/>
  <c r="E77" i="15"/>
  <c r="G77" i="15" s="1"/>
  <c r="N76" i="15"/>
  <c r="E76" i="15" s="1"/>
  <c r="G76" i="15" s="1"/>
  <c r="E74" i="15"/>
  <c r="G74" i="15" s="1"/>
  <c r="E73" i="15"/>
  <c r="G73" i="15" s="1"/>
  <c r="E72" i="15"/>
  <c r="G72" i="15" s="1"/>
  <c r="I71" i="15"/>
  <c r="N70" i="15"/>
  <c r="I70" i="15"/>
  <c r="E69" i="15"/>
  <c r="G69" i="15" s="1"/>
  <c r="F68" i="15"/>
  <c r="E68" i="15"/>
  <c r="G68" i="15" s="1"/>
  <c r="G67" i="15"/>
  <c r="E67" i="15"/>
  <c r="E66" i="15"/>
  <c r="G66" i="15" s="1"/>
  <c r="N65" i="15"/>
  <c r="N71" i="15" s="1"/>
  <c r="E65" i="15"/>
  <c r="G65" i="15" s="1"/>
  <c r="J64" i="15"/>
  <c r="E64" i="15"/>
  <c r="G64" i="15" s="1"/>
  <c r="J63" i="15"/>
  <c r="E63" i="15" s="1"/>
  <c r="G63" i="15" s="1"/>
  <c r="E62" i="15"/>
  <c r="G62" i="15" s="1"/>
  <c r="J61" i="15"/>
  <c r="H61" i="15"/>
  <c r="H70" i="15" s="1"/>
  <c r="J60" i="15"/>
  <c r="E60" i="15" s="1"/>
  <c r="G60" i="15" s="1"/>
  <c r="E59" i="15"/>
  <c r="G59" i="15" s="1"/>
  <c r="E58" i="15"/>
  <c r="G58" i="15" s="1"/>
  <c r="E57" i="15"/>
  <c r="G57" i="15" s="1"/>
  <c r="E56" i="15"/>
  <c r="G56" i="15" s="1"/>
  <c r="E55" i="15"/>
  <c r="G55" i="15" s="1"/>
  <c r="E54" i="15"/>
  <c r="G54" i="15" s="1"/>
  <c r="G53" i="15"/>
  <c r="E53" i="15"/>
  <c r="J52" i="15"/>
  <c r="I52" i="15"/>
  <c r="H52" i="15"/>
  <c r="E52" i="15"/>
  <c r="G52" i="15" s="1"/>
  <c r="F51" i="15"/>
  <c r="G51" i="15" s="1"/>
  <c r="F50" i="15"/>
  <c r="G50" i="15" s="1"/>
  <c r="J94" i="14"/>
  <c r="H94" i="14"/>
  <c r="J92" i="14"/>
  <c r="E92" i="14" s="1"/>
  <c r="G92" i="14" s="1"/>
  <c r="O90" i="14"/>
  <c r="E90" i="14"/>
  <c r="G90" i="14" s="1"/>
  <c r="O89" i="14"/>
  <c r="E89" i="14"/>
  <c r="G89" i="14" s="1"/>
  <c r="O88" i="14"/>
  <c r="F88" i="14" s="1"/>
  <c r="J88" i="14"/>
  <c r="E88" i="14" s="1"/>
  <c r="O86" i="14"/>
  <c r="F86" i="14" s="1"/>
  <c r="J86" i="14"/>
  <c r="E86" i="14" s="1"/>
  <c r="P85" i="14"/>
  <c r="F85" i="14" s="1"/>
  <c r="J85" i="14"/>
  <c r="E85" i="14" s="1"/>
  <c r="P84" i="14"/>
  <c r="J84" i="14"/>
  <c r="H84" i="14"/>
  <c r="P83" i="14"/>
  <c r="E83" i="14"/>
  <c r="G83" i="14" s="1"/>
  <c r="O81" i="14"/>
  <c r="J81" i="14"/>
  <c r="E81" i="14" s="1"/>
  <c r="G81" i="14" s="1"/>
  <c r="O79" i="14"/>
  <c r="E79" i="14"/>
  <c r="G79" i="14" s="1"/>
  <c r="P78" i="14"/>
  <c r="O78" i="14"/>
  <c r="J78" i="14"/>
  <c r="E78" i="14" s="1"/>
  <c r="G78" i="14" s="1"/>
  <c r="P77" i="14"/>
  <c r="O77" i="14"/>
  <c r="J77" i="14"/>
  <c r="E77" i="14" s="1"/>
  <c r="G77" i="14" s="1"/>
  <c r="P76" i="14"/>
  <c r="O76" i="14"/>
  <c r="E76" i="14"/>
  <c r="G76" i="14" s="1"/>
  <c r="E74" i="14"/>
  <c r="G74" i="14" s="1"/>
  <c r="J73" i="14"/>
  <c r="E73" i="14" s="1"/>
  <c r="G73" i="14" s="1"/>
  <c r="J72" i="14"/>
  <c r="H72" i="14"/>
  <c r="E71" i="14"/>
  <c r="G71" i="14" s="1"/>
  <c r="J70" i="14"/>
  <c r="E70" i="14" s="1"/>
  <c r="G70" i="14" s="1"/>
  <c r="J69" i="14"/>
  <c r="H69" i="14"/>
  <c r="E68" i="14"/>
  <c r="J67" i="14"/>
  <c r="O67" i="14" s="1"/>
  <c r="I65" i="14"/>
  <c r="I64" i="14"/>
  <c r="E63" i="14"/>
  <c r="G63" i="14" s="1"/>
  <c r="E62" i="14"/>
  <c r="G62" i="14" s="1"/>
  <c r="J61" i="14"/>
  <c r="E61" i="14" s="1"/>
  <c r="G61" i="14" s="1"/>
  <c r="J60" i="14"/>
  <c r="E60" i="14" s="1"/>
  <c r="G60" i="14" s="1"/>
  <c r="E59" i="14"/>
  <c r="G59" i="14" s="1"/>
  <c r="J58" i="14"/>
  <c r="H58" i="14"/>
  <c r="H65" i="14" s="1"/>
  <c r="J57" i="14"/>
  <c r="E57" i="14" s="1"/>
  <c r="G57" i="14" s="1"/>
  <c r="E56" i="14"/>
  <c r="G56" i="14" s="1"/>
  <c r="E55" i="14"/>
  <c r="G55" i="14" s="1"/>
  <c r="E54" i="14"/>
  <c r="G54" i="14" s="1"/>
  <c r="E53" i="14"/>
  <c r="G53" i="14" s="1"/>
  <c r="E52" i="14"/>
  <c r="G52" i="14" s="1"/>
  <c r="J51" i="14"/>
  <c r="I51" i="14"/>
  <c r="H51" i="14"/>
  <c r="F50" i="14"/>
  <c r="G50" i="14" s="1"/>
  <c r="F49" i="14"/>
  <c r="G49" i="14" s="1"/>
  <c r="C55" i="26" l="1"/>
  <c r="C56" i="26" s="1"/>
  <c r="G70" i="18"/>
  <c r="G71" i="18" s="1"/>
  <c r="G194" i="22"/>
  <c r="G195" i="22" s="1"/>
  <c r="G260" i="21"/>
  <c r="G261" i="21" s="1"/>
  <c r="C22" i="10"/>
  <c r="E94" i="14"/>
  <c r="G94" i="14" s="1"/>
  <c r="G88" i="14"/>
  <c r="G68" i="14"/>
  <c r="E67" i="14"/>
  <c r="G67" i="14" s="1"/>
  <c r="E51" i="14"/>
  <c r="G51" i="14" s="1"/>
  <c r="E69" i="14"/>
  <c r="G69" i="14" s="1"/>
  <c r="E72" i="14"/>
  <c r="G72" i="14" s="1"/>
  <c r="E58" i="14"/>
  <c r="G58" i="14" s="1"/>
  <c r="G98" i="15"/>
  <c r="H71" i="15"/>
  <c r="G100" i="15"/>
  <c r="G101" i="15"/>
  <c r="G223" i="15"/>
  <c r="G189" i="15"/>
  <c r="E61" i="15"/>
  <c r="G61" i="15" s="1"/>
  <c r="G102" i="15"/>
  <c r="G113" i="15"/>
  <c r="G103" i="15"/>
  <c r="G182" i="15"/>
  <c r="G104" i="15"/>
  <c r="G81" i="15"/>
  <c r="E229" i="15"/>
  <c r="G229" i="15" s="1"/>
  <c r="G97" i="15"/>
  <c r="G115" i="15"/>
  <c r="E82" i="15"/>
  <c r="G82" i="15" s="1"/>
  <c r="G86" i="14"/>
  <c r="E84" i="14"/>
  <c r="G84" i="14" s="1"/>
  <c r="G85" i="14"/>
  <c r="G112" i="15"/>
  <c r="G94" i="15"/>
  <c r="G96" i="15"/>
  <c r="J70" i="15"/>
  <c r="E70" i="15" s="1"/>
  <c r="G70" i="15" s="1"/>
  <c r="J71" i="15"/>
  <c r="E71" i="15" s="1"/>
  <c r="G71" i="15" s="1"/>
  <c r="H64" i="14"/>
  <c r="J64" i="14"/>
  <c r="J65" i="14"/>
  <c r="E65" i="14" s="1"/>
  <c r="G65" i="14" s="1"/>
  <c r="C59" i="26" l="1"/>
  <c r="C60" i="26" s="1"/>
  <c r="C61" i="26" s="1"/>
  <c r="C62" i="26" s="1"/>
  <c r="C63" i="26" s="1"/>
  <c r="C64" i="26" s="1"/>
  <c r="C65" i="26" s="1"/>
  <c r="C67" i="26" s="1"/>
  <c r="G153" i="16"/>
  <c r="G154" i="16" s="1"/>
  <c r="G230" i="15"/>
  <c r="E64" i="14"/>
  <c r="G64" i="14" s="1"/>
  <c r="G95" i="14" s="1"/>
  <c r="C68" i="26" l="1"/>
  <c r="C69" i="26" s="1"/>
  <c r="G231" i="15"/>
  <c r="G232" i="15" s="1"/>
  <c r="G96" i="14"/>
  <c r="G97" i="14" s="1"/>
  <c r="C72" i="26" l="1"/>
  <c r="C73" i="26" s="1"/>
  <c r="C74" i="26" s="1"/>
  <c r="C75" i="26" s="1"/>
  <c r="C76" i="26" s="1"/>
  <c r="E85" i="12"/>
  <c r="E86" i="12"/>
  <c r="E87" i="12"/>
  <c r="E88" i="12"/>
  <c r="E89" i="12"/>
  <c r="E84" i="12"/>
  <c r="N161" i="13" l="1"/>
  <c r="E161" i="13" s="1"/>
  <c r="G161" i="13" s="1"/>
  <c r="O159" i="13"/>
  <c r="E159" i="13"/>
  <c r="G159" i="13" s="1"/>
  <c r="O158" i="13"/>
  <c r="E158" i="13"/>
  <c r="E156" i="13"/>
  <c r="G156" i="13" s="1"/>
  <c r="N84" i="13"/>
  <c r="E84" i="13" s="1"/>
  <c r="G84" i="13" s="1"/>
  <c r="E83" i="13"/>
  <c r="G83" i="13" s="1"/>
  <c r="O82" i="13"/>
  <c r="N82" i="13"/>
  <c r="E82" i="13" s="1"/>
  <c r="P81" i="13"/>
  <c r="N81" i="13"/>
  <c r="E81" i="13" s="1"/>
  <c r="E79" i="13"/>
  <c r="G79" i="13" s="1"/>
  <c r="P78" i="13"/>
  <c r="E78" i="13"/>
  <c r="G78" i="13" s="1"/>
  <c r="O76" i="13"/>
  <c r="E76" i="13"/>
  <c r="O75" i="13"/>
  <c r="E75" i="13"/>
  <c r="E74" i="13"/>
  <c r="E73" i="13"/>
  <c r="E70" i="13"/>
  <c r="O69" i="13"/>
  <c r="E69" i="13"/>
  <c r="O68" i="13"/>
  <c r="E68" i="13"/>
  <c r="O67" i="13"/>
  <c r="E67" i="13"/>
  <c r="O66" i="13"/>
  <c r="E66" i="13"/>
  <c r="P65" i="13"/>
  <c r="O65" i="13"/>
  <c r="E65" i="13"/>
  <c r="G65" i="13" s="1"/>
  <c r="P64" i="13"/>
  <c r="O64" i="13"/>
  <c r="N64" i="13"/>
  <c r="E64" i="13" s="1"/>
  <c r="G64" i="13" s="1"/>
  <c r="P63" i="13"/>
  <c r="O63" i="13"/>
  <c r="E63" i="13"/>
  <c r="G63" i="13" s="1"/>
  <c r="P62" i="13"/>
  <c r="O62" i="13"/>
  <c r="E62" i="13"/>
  <c r="G62" i="13" s="1"/>
  <c r="E61" i="13"/>
  <c r="G61" i="13" s="1"/>
  <c r="E59" i="13"/>
  <c r="G59" i="13" s="1"/>
  <c r="N58" i="13"/>
  <c r="E58" i="13" s="1"/>
  <c r="G58" i="13" s="1"/>
  <c r="E54" i="13"/>
  <c r="E53" i="13"/>
  <c r="G53" i="13" s="1"/>
  <c r="N52" i="13"/>
  <c r="N55" i="13" s="1"/>
  <c r="E51" i="13"/>
  <c r="G51" i="13" s="1"/>
  <c r="E50" i="13"/>
  <c r="G50" i="13" s="1"/>
  <c r="E49" i="13"/>
  <c r="G49" i="13" s="1"/>
  <c r="E48" i="13"/>
  <c r="G48" i="13" s="1"/>
  <c r="G47" i="13"/>
  <c r="G46" i="13"/>
  <c r="G72" i="13" l="1"/>
  <c r="G75" i="13"/>
  <c r="G81" i="13"/>
  <c r="G158" i="13"/>
  <c r="N56" i="13"/>
  <c r="G70" i="13"/>
  <c r="G67" i="13"/>
  <c r="G66" i="13"/>
  <c r="E52" i="13"/>
  <c r="G52" i="13" s="1"/>
  <c r="G76" i="13"/>
  <c r="G74" i="13"/>
  <c r="G68" i="13"/>
  <c r="G54" i="13"/>
  <c r="G69" i="13"/>
  <c r="G71" i="13"/>
  <c r="G73" i="13"/>
  <c r="G82" i="13"/>
  <c r="E55" i="13"/>
  <c r="G55" i="13" s="1"/>
  <c r="E56" i="13" l="1"/>
  <c r="G56" i="13" s="1"/>
  <c r="G162" i="13" l="1"/>
  <c r="G163" i="13" s="1"/>
  <c r="G89" i="12"/>
  <c r="G88" i="12"/>
  <c r="G87" i="12"/>
  <c r="G86" i="12"/>
  <c r="G85" i="12"/>
  <c r="G84" i="12"/>
  <c r="E79" i="12"/>
  <c r="G79" i="12" s="1"/>
  <c r="E78" i="12"/>
  <c r="G78" i="12" s="1"/>
  <c r="E77" i="12"/>
  <c r="G77" i="12" s="1"/>
  <c r="E76" i="12"/>
  <c r="G76" i="12" s="1"/>
  <c r="E75" i="12"/>
  <c r="G75" i="12" s="1"/>
  <c r="E74" i="12"/>
  <c r="G74" i="12" s="1"/>
  <c r="E73" i="12"/>
  <c r="G73" i="12" s="1"/>
  <c r="E72" i="12"/>
  <c r="G72" i="12" s="1"/>
  <c r="E71" i="12"/>
  <c r="G71" i="12" s="1"/>
  <c r="E69" i="12"/>
  <c r="G69" i="12" s="1"/>
  <c r="E68" i="12"/>
  <c r="G68" i="12" s="1"/>
  <c r="E67" i="12"/>
  <c r="G67" i="12" s="1"/>
  <c r="E66" i="12"/>
  <c r="G66" i="12" s="1"/>
  <c r="E65" i="12"/>
  <c r="G65" i="12" s="1"/>
  <c r="E64" i="12"/>
  <c r="G64" i="12" s="1"/>
  <c r="E63" i="12"/>
  <c r="G63" i="12" s="1"/>
  <c r="E62" i="12"/>
  <c r="G62" i="12" s="1"/>
  <c r="E61" i="12"/>
  <c r="G61" i="12" s="1"/>
  <c r="E60" i="12"/>
  <c r="G60" i="12" s="1"/>
  <c r="E59" i="12"/>
  <c r="G59" i="12" s="1"/>
  <c r="E58" i="12"/>
  <c r="G58" i="12" s="1"/>
  <c r="E56" i="12"/>
  <c r="G56" i="12" s="1"/>
  <c r="E55" i="12"/>
  <c r="G55" i="12" s="1"/>
  <c r="E54" i="12"/>
  <c r="G54" i="12" s="1"/>
  <c r="E53" i="12"/>
  <c r="G53" i="12" s="1"/>
  <c r="E52" i="12"/>
  <c r="G52" i="12" s="1"/>
  <c r="E51" i="12"/>
  <c r="G51" i="12" s="1"/>
  <c r="E50" i="12"/>
  <c r="G50" i="12" s="1"/>
  <c r="E49" i="12"/>
  <c r="G49" i="12" s="1"/>
  <c r="E48" i="12"/>
  <c r="G48" i="12" s="1"/>
  <c r="E47" i="12"/>
  <c r="G47" i="12" s="1"/>
  <c r="E46" i="12"/>
  <c r="G46" i="12" s="1"/>
  <c r="E45" i="12"/>
  <c r="G45" i="12" s="1"/>
  <c r="C17" i="10" l="1"/>
  <c r="G164" i="13"/>
  <c r="G90" i="12" l="1"/>
  <c r="C14" i="10" l="1"/>
  <c r="G91" i="12"/>
  <c r="G92" i="12" s="1"/>
  <c r="G50" i="11" l="1"/>
  <c r="G48" i="11"/>
  <c r="G47" i="11"/>
  <c r="G46" i="11"/>
  <c r="D14" i="10"/>
  <c r="D17" i="10"/>
  <c r="E17" i="10" s="1"/>
  <c r="E62" i="9"/>
  <c r="E61" i="9"/>
  <c r="G61" i="9" s="1"/>
  <c r="E60" i="9"/>
  <c r="G60" i="9" s="1"/>
  <c r="E59" i="9"/>
  <c r="G59" i="9" s="1"/>
  <c r="E58" i="9"/>
  <c r="G58" i="9" s="1"/>
  <c r="E57" i="9"/>
  <c r="G57" i="9" s="1"/>
  <c r="E56" i="9"/>
  <c r="G56" i="9" s="1"/>
  <c r="E55" i="9"/>
  <c r="G55" i="9" s="1"/>
  <c r="E54" i="9"/>
  <c r="G54" i="9" s="1"/>
  <c r="E53" i="9"/>
  <c r="G53" i="9" s="1"/>
  <c r="E52" i="9"/>
  <c r="G52" i="9" s="1"/>
  <c r="E51" i="9"/>
  <c r="G51" i="9" s="1"/>
  <c r="E50" i="9"/>
  <c r="G50" i="9" s="1"/>
  <c r="E49" i="9"/>
  <c r="G49" i="9" s="1"/>
  <c r="E48" i="9"/>
  <c r="G48" i="9" s="1"/>
  <c r="E47" i="9"/>
  <c r="G47" i="9" s="1"/>
  <c r="E46" i="9"/>
  <c r="G46" i="9" s="1"/>
  <c r="E45" i="9"/>
  <c r="G45" i="9" s="1"/>
  <c r="G52" i="11" l="1"/>
  <c r="G53" i="11" s="1"/>
  <c r="G63" i="9"/>
  <c r="E14" i="10"/>
  <c r="C16" i="10" l="1"/>
  <c r="D16" i="10" s="1"/>
  <c r="E16" i="10" s="1"/>
  <c r="G64" i="9"/>
  <c r="G65" i="9" s="1"/>
  <c r="C15" i="10"/>
  <c r="D15" i="10" s="1"/>
  <c r="E15" i="10" s="1"/>
  <c r="J83" i="8"/>
  <c r="E83" i="8" s="1"/>
  <c r="G83" i="8" s="1"/>
  <c r="J81" i="8"/>
  <c r="E81" i="8" s="1"/>
  <c r="G81" i="8" s="1"/>
  <c r="O79" i="8"/>
  <c r="E79" i="8"/>
  <c r="G79" i="8" s="1"/>
  <c r="O78" i="8"/>
  <c r="J78" i="8"/>
  <c r="E78" i="8" s="1"/>
  <c r="O76" i="8"/>
  <c r="J76" i="8"/>
  <c r="E76" i="8" s="1"/>
  <c r="P75" i="8"/>
  <c r="J75" i="8"/>
  <c r="E75" i="8" s="1"/>
  <c r="P74" i="8"/>
  <c r="J74" i="8"/>
  <c r="E74" i="8" s="1"/>
  <c r="O72" i="8"/>
  <c r="J72" i="8"/>
  <c r="E72" i="8" s="1"/>
  <c r="G72" i="8" s="1"/>
  <c r="P70" i="8"/>
  <c r="O70" i="8"/>
  <c r="J70" i="8"/>
  <c r="E70" i="8" s="1"/>
  <c r="G70" i="8" s="1"/>
  <c r="P69" i="8"/>
  <c r="O69" i="8"/>
  <c r="J69" i="8"/>
  <c r="E69" i="8" s="1"/>
  <c r="G69" i="8" s="1"/>
  <c r="P68" i="8"/>
  <c r="O68" i="8"/>
  <c r="E68" i="8"/>
  <c r="G68" i="8" s="1"/>
  <c r="E66" i="8"/>
  <c r="G66" i="8" s="1"/>
  <c r="J65" i="8"/>
  <c r="E65" i="8" s="1"/>
  <c r="G65" i="8" s="1"/>
  <c r="J64" i="8"/>
  <c r="E63" i="8"/>
  <c r="G63" i="8" s="1"/>
  <c r="J62" i="8"/>
  <c r="E62" i="8" s="1"/>
  <c r="G62" i="8" s="1"/>
  <c r="J61" i="8"/>
  <c r="E61" i="8" s="1"/>
  <c r="G61" i="8" s="1"/>
  <c r="J60" i="8"/>
  <c r="O60" i="8" s="1"/>
  <c r="E56" i="8"/>
  <c r="G56" i="8" s="1"/>
  <c r="J55" i="8"/>
  <c r="E55" i="8" s="1"/>
  <c r="G55" i="8" s="1"/>
  <c r="J54" i="8"/>
  <c r="E54" i="8" s="1"/>
  <c r="G54" i="8" s="1"/>
  <c r="J53" i="8"/>
  <c r="E53" i="8" s="1"/>
  <c r="G53" i="8" s="1"/>
  <c r="J52" i="8"/>
  <c r="E52" i="8" s="1"/>
  <c r="G52" i="8" s="1"/>
  <c r="E51" i="8"/>
  <c r="G51" i="8" s="1"/>
  <c r="E50" i="8"/>
  <c r="G50" i="8" s="1"/>
  <c r="E49" i="8"/>
  <c r="G49" i="8" s="1"/>
  <c r="J48" i="8"/>
  <c r="G47" i="8"/>
  <c r="G46" i="8"/>
  <c r="G76" i="8" l="1"/>
  <c r="G74" i="8"/>
  <c r="G75" i="8"/>
  <c r="G78" i="8"/>
  <c r="E48" i="8"/>
  <c r="G48" i="8" s="1"/>
  <c r="E60" i="8"/>
  <c r="G60" i="8" s="1"/>
  <c r="E64" i="8"/>
  <c r="G64" i="8" s="1"/>
  <c r="J57" i="8"/>
  <c r="J58" i="8"/>
  <c r="E58" i="8" s="1"/>
  <c r="G58" i="8" s="1"/>
  <c r="E57" i="8" l="1"/>
  <c r="G57" i="8" s="1"/>
  <c r="G84" i="8" s="1"/>
  <c r="G85" i="8" s="1"/>
  <c r="C13" i="10" l="1"/>
  <c r="C10" i="10" s="1"/>
  <c r="D10" i="10" s="1"/>
  <c r="E10" i="10" s="1"/>
  <c r="G10" i="10" s="1"/>
  <c r="C9" i="10"/>
  <c r="D13" i="10"/>
  <c r="E13" i="10" s="1"/>
  <c r="D7" i="10"/>
  <c r="E7" i="10" s="1"/>
  <c r="G86" i="8"/>
  <c r="G72" i="7"/>
  <c r="D24" i="24" l="1"/>
  <c r="C24" i="24"/>
  <c r="G7" i="10"/>
  <c r="C24" i="10"/>
  <c r="D9" i="10"/>
  <c r="E9" i="10" s="1"/>
  <c r="G9" i="10" s="1"/>
  <c r="C19" i="10"/>
  <c r="D19" i="10" s="1"/>
  <c r="E19" i="10" s="1"/>
  <c r="E24" i="24" l="1"/>
  <c r="G51" i="2"/>
  <c r="G49" i="2"/>
  <c r="G48" i="2"/>
  <c r="G47" i="2"/>
  <c r="G52" i="2" s="1"/>
  <c r="G53" i="2" l="1"/>
  <c r="G54" i="2" s="1"/>
</calcChain>
</file>

<file path=xl/sharedStrings.xml><?xml version="1.0" encoding="utf-8"?>
<sst xmlns="http://schemas.openxmlformats.org/spreadsheetml/2006/main" count="3355" uniqueCount="648">
  <si>
    <t>Br.
st.</t>
  </si>
  <si>
    <t>Opis stavke troškovnika</t>
  </si>
  <si>
    <t>jed.
mjere</t>
  </si>
  <si>
    <t>količina</t>
  </si>
  <si>
    <t>jed.
cijena</t>
  </si>
  <si>
    <t>ukupno</t>
  </si>
  <si>
    <t>I</t>
  </si>
  <si>
    <t>PRIPREMNI RADOVI</t>
  </si>
  <si>
    <t>.1</t>
  </si>
  <si>
    <r>
      <rPr>
        <b/>
        <sz val="10"/>
        <rFont val="Calibri"/>
        <family val="2"/>
        <scheme val="minor"/>
      </rPr>
      <t xml:space="preserve">Demontaža sanitarija.
</t>
    </r>
    <r>
      <rPr>
        <sz val="10"/>
        <rFont val="Calibri"/>
        <family val="2"/>
        <scheme val="minor"/>
      </rPr>
      <t>Demontaža sanitarnih uređaja komplet sa slavinama, mješalicama, vodokotlićem, odvodnim sifonima i slično, te instalacije dovoda i odvoda vode i kanalizacije te pažljivo skladištenje istih u prostor prema dogovoru s investitorom. U cijenu stavke uključiti sav rad, materijal, alate i strojeve potrebne za potpuno dovršenje stavke.
Obračun po kompletu provedenih radova demontaže sanitarija.</t>
    </r>
  </si>
  <si>
    <t>komplet</t>
  </si>
  <si>
    <t>.2</t>
  </si>
  <si>
    <r>
      <rPr>
        <b/>
        <sz val="10"/>
        <color theme="1"/>
        <rFont val="Calibri"/>
        <family val="2"/>
        <scheme val="minor"/>
      </rPr>
      <t>Uklanjanje vodovodnih/odvodnih cijevi unutar demontiranog zida od opeke.</t>
    </r>
    <r>
      <rPr>
        <sz val="10"/>
        <color theme="1"/>
        <rFont val="Calibri"/>
        <family val="2"/>
        <scheme val="minor"/>
      </rPr>
      <t xml:space="preserve">
Stavka obuhvaća uklanjanje vodovodnih/odvodnih cijevi iz prostorija predviđenih za sanaciju te pažljivo skladištenje istih u prostor prema dogovoru s investitorom. U cijenu stavke uključiti sav rad, materijal, potrebnu radnu skelu, alate i strojeve potrebne za potpuno dovršenje stavke.
Obračun po kompletu provedenih radova uklanjanja vodovodnih/odvodnih cijevi.
*Cijevi je potrebno ukloniti ukoliko smetaju pri lijepljenu karbonskih mreža.</t>
    </r>
  </si>
  <si>
    <t>.3</t>
  </si>
  <si>
    <r>
      <rPr>
        <b/>
        <sz val="10"/>
        <color theme="1"/>
        <rFont val="Calibri"/>
        <family val="2"/>
        <scheme val="minor"/>
      </rPr>
      <t>Montaža vodovodnih/odvodnih cijevi unutar demontiranog zida od opeke.</t>
    </r>
    <r>
      <rPr>
        <sz val="10"/>
        <color theme="1"/>
        <rFont val="Calibri"/>
        <family val="2"/>
        <scheme val="minor"/>
      </rPr>
      <t xml:space="preserve">
Stavka obuhvaća montažu vodovodnih/odvodnih cijevi u prostorijama predviđenih za sanaciju. U cijenu stavke uključiti sav rad, materijal, potrebnu radnu skelu, alate i strojeve potrebne za potpuno dovršenje stavke.
Obračun po kompletu provedenih radova montaže vodovodnih/odvodnih cijevi.
*Cijevi je potrebno ukloniti ukoliko smetaju pri lijepljenu karbonskih mreža.</t>
    </r>
  </si>
  <si>
    <t>II</t>
  </si>
  <si>
    <t>ZEMLJANI RADOVI</t>
  </si>
  <si>
    <r>
      <rPr>
        <b/>
        <sz val="10"/>
        <rFont val="Calibri"/>
        <family val="2"/>
        <scheme val="minor"/>
      </rPr>
      <t xml:space="preserve">Sanacija drenaže na mjestima geomehaničkih ispitivanja.
</t>
    </r>
    <r>
      <rPr>
        <sz val="10"/>
        <rFont val="Calibri"/>
        <family val="2"/>
        <scheme val="minor"/>
      </rPr>
      <t>Sustav drenaže temelja i podrumskih zidova izveden je od drenažnih cijevi pretpostavljenog profila ø150 mm (PVC RDC cijevi).  Prilikom istražnih radova došlo je do probijanja drenažne cijevi i istu je potrebno sanirati. Sanacija se vrši otkopavanjem zemlje do razine postojeće betonske pasice. Nakon otkopavanje zemlje potrebno je izvršiti zamjenu cijevi  i izvesti novu betonsku podlogu debljine 15 cm i širine cca 30 cm. Spoj nove i postojeće cijevi izvest preko sabirnog okna. Drenažni nasip ispred zida izvesti od drobljenog kamena 32-63 mm.  Drenažnu cijev omotati geotekstilom. U cijenu stavke uključiti nabavu drenažnih cijevi, sav rad, materijal, alate i strojeve potrebne za potpuno dovršenje stavke.
Obračun po m' ugrađene drenaže.</t>
    </r>
  </si>
  <si>
    <t>m1</t>
  </si>
  <si>
    <t>UKUPNO</t>
  </si>
  <si>
    <t>PDV 25%</t>
  </si>
  <si>
    <t>SVEUKUPNO</t>
  </si>
  <si>
    <r>
      <rPr>
        <b/>
        <sz val="10"/>
        <rFont val="Calibri"/>
        <family val="2"/>
        <scheme val="minor"/>
      </rPr>
      <t>Organizacija i priprema gradilišta.</t>
    </r>
    <r>
      <rPr>
        <sz val="10"/>
        <rFont val="Calibri"/>
        <family val="2"/>
        <scheme val="minor"/>
      </rPr>
      <t xml:space="preserve">
Stavka obuhvaća:
- uređenje, održavanje, korištenje, uklanjanje, uređenje gradilišta, organizacija i postavljanje radnih prostora, skladišta, privremene infrastrukture, natpisi, osvjetljenje, dobava, materijala i alata, upozorenja
- mobilizacija, održavanje i demobilizacija opreme, alata i strojeva
- osiguranje potrebnih građevinskih priključaka (voda, el.energija, i sl), pogonske energije i pomoćnih građevina
- osiguranje privremenih puteva, zaštita puteva i površina od oštećenja, čišćenje manipulativnih površina i osiguranje mjesta za skladištenje i deponiranje materijala
- osiguranje vertikalnog i horizontalnog transporta, instalacija i korištenje naprava za vertikalni i horizontalni transport ljudi i materijala.
- postava oznaka upozorenja, table gradilišta, oznaka opasnosti i zabrane, te ostalih oznaka zaštite na radu
Obračun po kompletu.</t>
    </r>
  </si>
  <si>
    <r>
      <rPr>
        <b/>
        <sz val="10"/>
        <rFont val="Calibri"/>
        <family val="2"/>
        <scheme val="minor"/>
      </rPr>
      <t>Pripremni unutrašnji radovi.</t>
    </r>
    <r>
      <rPr>
        <sz val="10"/>
        <rFont val="Calibri"/>
        <family val="2"/>
        <scheme val="minor"/>
      </rPr>
      <t xml:space="preserve">
Pripremni radovi uključuju sve radnje na pomicanju i zaštiti namještaja i uređaja od oštećenja i prašine, zaštitu podnih obloga od oštećenja prilikom korištenja radnih ljestvi, pokretnih skela i platformi te od padanja dijelova žbuke i zidova (uključiti zaštitu EPS-om u debljini od 1 cm i pokrivanje najlonom). Čišćenje mjesta rada, održavanje čistoće, zaštita od prašine, redovita čišćenja i završno čišćenje gradilišta, površina i mjesta rada. U pripremne radove uključiti i unutarnji transport materijala. Po dovršetku radova sve treba vratiti u prvobitni položaj i stanje prije početka sanacije.
Obračun po kompletu svih provedenih pripremnih unutrašnjih radova.</t>
    </r>
  </si>
  <si>
    <r>
      <rPr>
        <b/>
        <sz val="10"/>
        <rFont val="Calibri"/>
        <family val="2"/>
        <scheme val="minor"/>
      </rPr>
      <t>Dovoz, montaža i demontaža skele za radove na visini.</t>
    </r>
    <r>
      <rPr>
        <sz val="10"/>
        <rFont val="Calibri"/>
        <family val="2"/>
        <scheme val="minor"/>
      </rPr>
      <t xml:space="preserve">
Stavka obuhvaća nabavu, dopremu, montažu, demontažu te sva eventualna premještanja skele za potrebe izvođenja radova na sanaciji fasada fakulteta i knjižnice. U cijenu uključiti sav rad, materijal, alate, strojeve i opremu potrebnu za potpuno dovršenje stavke, izradu projekta skele te najam skele po m2.
Obračun je po m2 površine koju treba oskeliti.</t>
    </r>
  </si>
  <si>
    <t>m2</t>
  </si>
  <si>
    <t>.4</t>
  </si>
  <si>
    <r>
      <rPr>
        <b/>
        <sz val="10"/>
        <rFont val="Calibri"/>
        <family val="2"/>
        <scheme val="minor"/>
      </rPr>
      <t>Nabava, doprema, montaža i demontaža pune zaštitne ograde.</t>
    </r>
    <r>
      <rPr>
        <sz val="10"/>
        <rFont val="Calibri"/>
        <family val="2"/>
        <scheme val="minor"/>
      </rPr>
      <t xml:space="preserve">
Objekt na kojemu se izvode radovi treba ograditi zaštitnim ogradama za sprječavanje ulaska vozila i pješaka u zonu radova. Ograda treba biti visine 2 metra i osigurana od prevrtanja. Ograda se postavlja minimalno 3m od građevine. Eventualna premještanja uključena u cijenu. U cijenu stavke uključiti sav rad, materijal, alate i strojeve potrebne za potpuno dovršenje stavke, izradu projekta ograde.
Obračun je po m' montirane i po dovršetku radova demontirane zaštitne ograde.</t>
    </r>
  </si>
  <si>
    <t>.5</t>
  </si>
  <si>
    <t>kom</t>
  </si>
  <si>
    <t>.6</t>
  </si>
  <si>
    <t>.7</t>
  </si>
  <si>
    <r>
      <rPr>
        <b/>
        <sz val="10"/>
        <rFont val="Calibri"/>
        <family val="2"/>
        <scheme val="minor"/>
      </rPr>
      <t>Demontaža prozora na mjestima predviđenim za sanaciju.</t>
    </r>
    <r>
      <rPr>
        <sz val="10"/>
        <rFont val="Calibri"/>
        <family val="2"/>
        <scheme val="minor"/>
      </rPr>
      <t xml:space="preserve">
Demontaža prozora u hodniku i prostorijama predavaonica predviđenim za sanaciju (prilozi F3.1, F3.2 i F3.3, sektori S1, P1, P5 i K1). Stavka obuhvaća demontažu prozora, doprozornika, prozorskih klupčica i metalnih rešetki te pažljivo skladištenje istih u prostor prema dogovoru s investitorom. U cijenu stavke uključiti sav rad, materijal, potrebnu radnu skelu, alate i strojeve potrebne za potpuno dovršenje stavke.
Obračun po komadu demontiranog prozora.</t>
    </r>
  </si>
  <si>
    <t>.8</t>
  </si>
  <si>
    <r>
      <rPr>
        <b/>
        <sz val="10"/>
        <rFont val="Calibri"/>
        <family val="2"/>
        <scheme val="minor"/>
      </rPr>
      <t>Demontaža staklene stijene na mjestima predviđenim za sanaciju.</t>
    </r>
    <r>
      <rPr>
        <sz val="10"/>
        <rFont val="Calibri"/>
        <family val="2"/>
        <scheme val="minor"/>
      </rPr>
      <t xml:space="preserve">
Demontaža staklene stijene na ulazu fakulteta predviđenim za sanaciju (prilog F3.2, sektori P6). Stavka obuhvaća demontažu prozora, doprozornika, prozorskih klupčica te metalnih rešetki te pažljivo skladištenje istih u prostor prema dogovoru s investitorom. U cijenu stavke uključiti sav rad, materijal, potrebnu radnu skelu, alate i strojeve potrebne za potpuno dovršenje stavke.
Obračun po komadu demontiranog prozora.</t>
    </r>
  </si>
  <si>
    <t>.9</t>
  </si>
  <si>
    <r>
      <rPr>
        <b/>
        <sz val="10"/>
        <rFont val="Calibri"/>
        <family val="2"/>
        <scheme val="minor"/>
      </rPr>
      <t>Uklanjanje keramičkih pločica sa zidova.</t>
    </r>
    <r>
      <rPr>
        <sz val="10"/>
        <rFont val="Calibri"/>
        <family val="2"/>
        <scheme val="minor"/>
      </rPr>
      <t xml:space="preserve">
Stavka obuhvaća uklanjanje keramičkih pločica sa zidova iz prostorija predviđenih za sanaciju (prilozi F3.1, F3.2, sektori S1 i P1) te deponiranje otpada na privremeni deponij. U cijenu stavke uključiti sav rad, materijal, alate i strojeve potrebne za potpuno dovršenje stavke.
Obračun po m3 uklonjenog materijala.</t>
    </r>
  </si>
  <si>
    <t>m3</t>
  </si>
  <si>
    <t>.10</t>
  </si>
  <si>
    <r>
      <rPr>
        <b/>
        <sz val="10"/>
        <rFont val="Calibri"/>
        <family val="2"/>
        <scheme val="minor"/>
      </rPr>
      <t>Uklanjanje armiranobetonskog parapeta sa pripadajućim slojevima.</t>
    </r>
    <r>
      <rPr>
        <sz val="10"/>
        <rFont val="Calibri"/>
        <family val="2"/>
        <scheme val="minor"/>
      </rPr>
      <t xml:space="preserve">
Stavka obuhvaća uklanjanje armiranobetonskog parapeta duljine 118cm,  debljine 20cm i visine 113cm, sa slojevima fasade (opeka, toplinska izolacija) iz prostorija predviđenih za sanaciju (prilog F3.2, sektor P5) te deponiranje otpada na privremeni deponij. U cijenu stavke uključiti sav rad, materijal, alate i strojeve potrebne za potpuno dovršenje stavke.
Obračun je po m3 uklonjenog materijala.  </t>
    </r>
  </si>
  <si>
    <t>.11</t>
  </si>
  <si>
    <r>
      <rPr>
        <b/>
        <sz val="10"/>
        <rFont val="Calibri"/>
        <family val="2"/>
        <scheme val="minor"/>
      </rPr>
      <t>Uklanjanje zidova od opeke oko vodovodnih/odvodnih instalacija.</t>
    </r>
    <r>
      <rPr>
        <sz val="10"/>
        <rFont val="Calibri"/>
        <family val="2"/>
        <scheme val="minor"/>
      </rPr>
      <t xml:space="preserve">
Stavka obuhvaća uklanjanje zidova od opeke oko vodovodnih/odvodnih instalacija iz prostorija predviđenih za sanaciju (prilog F3.1, F3.2 i F3.3, sektori S1, P1 i K1) te deponiranje otpada na privremeni deponij. U cijenu stavke uključiti sav rad, materijal, potrebnu radnu skelu, alate i strojeve potrebne za potpuno dovršenje stavke.
Obračun je po m3 uklonjenog materijala.  </t>
    </r>
  </si>
  <si>
    <t>.12</t>
  </si>
  <si>
    <r>
      <rPr>
        <b/>
        <sz val="10"/>
        <rFont val="Calibri"/>
        <family val="2"/>
        <scheme val="minor"/>
      </rPr>
      <t>Strojno uklanjanje žbuke unutarnjih površina.</t>
    </r>
    <r>
      <rPr>
        <sz val="10"/>
        <rFont val="Calibri"/>
        <family val="2"/>
        <scheme val="minor"/>
      </rPr>
      <t xml:space="preserve">
Žbuka se u potpunosti uklanja s površine zida lakim ručnim alatima pazeći pritom da se ne oštete elementi opeke i sljubnice ili armirano-betonskog zida (prilozi F3.1, F3.2 i F3.3, sektori S1, P1, K1 i prilozi F2.1, F2.2, F2.3, F2.4, F2.5, F2.6, K2.1, K2.2, K2.3, K2.4). Prilikom uklanjanja žbuke, obuhvatiti površinu od 50 cm oko svake pukotine predviđene za sanaciju. Površinu zida treba detaljno očistiti žičanim četkama te ispuhati komprimiranim zrakom. Potom treba detaljno pregledati zid radi postojanja eventualnih oštećenja odnosno pukotina. U cijenu treba uračunati sav rad, materijal, potrebnu radnu skelu, alate i strojeve potrebne za potpuno dovršenje stavke.
Obračun je po m2 uklonjene žbuke i očišćene površine ziđa.</t>
    </r>
  </si>
  <si>
    <t>.13</t>
  </si>
  <si>
    <r>
      <rPr>
        <b/>
        <sz val="10"/>
        <rFont val="Calibri"/>
        <family val="2"/>
        <scheme val="minor"/>
      </rPr>
      <t>Strojno uklanjanje žbuke na fasadi.</t>
    </r>
    <r>
      <rPr>
        <sz val="10"/>
        <rFont val="Calibri"/>
        <family val="2"/>
        <scheme val="minor"/>
      </rPr>
      <t xml:space="preserve">
Žbuka se u potpunosti uklanja s površine zida lakim ručnim alatima pazeći pritom da se ne oštete elementi opeke i sljubnice ili armirano-betonskog zida (prilozi F2.1, F2.2, F2.3, F2.4, F2.5, F2.6, K2.1, K2.2, K2.3, K2.4). Prilikom uklanjanja žbuke, obuhvatiti površinu od 50 cm oko svake pukotine predviđene za sanaciju. Površinu zida treba detaljno očistiti žičanim četkama te ispuhati komprimiranim zrakom. Potom treba detaljno pregledati zid radi postojanja eventualnih oštećenja odnosno pukotina. U cijenu treba uračunati sav rad, materijal, potrebnu radnu skelu, alate i strojeve potrebne za potpuno dovršenje stavke.
Obračun je po m2 uklonjene žbuke i očišćene površine ziđa.</t>
    </r>
  </si>
  <si>
    <t>.14</t>
  </si>
  <si>
    <r>
      <rPr>
        <b/>
        <sz val="10"/>
        <rFont val="Calibri"/>
        <family val="2"/>
        <scheme val="minor"/>
      </rPr>
      <t>Uklanjanje dijelova fasade.</t>
    </r>
    <r>
      <rPr>
        <sz val="10"/>
        <rFont val="Calibri"/>
        <family val="2"/>
        <scheme val="minor"/>
      </rPr>
      <t xml:space="preserve">
Svi slojevi fasade (žbuka, opeka, toplinska izolacija, d=18cm) se u potpunosti uklanjaju s površine zidova 20cm  oko prozora lakim ručnim alatima pazeći pritom da se ne oštete elementi opeke i sljubnice ili armirano-betonskog zida (prilozi F3.1, F3.2 i F3.3, sektori S1, P1, K1). Površinu zida treba detaljno očistiti žičanim četkama te ispuhati komprimiranim zrakom. U cijenu stavke uključiti sav rad, materijal, potrebnu radnu skelu, alate i strojeve potrebne za potpuno dovršenje stavke.
Obračun je po m2 uklonjene fasade i očišćene površine ziđa.</t>
    </r>
  </si>
  <si>
    <t>.15</t>
  </si>
  <si>
    <r>
      <rPr>
        <b/>
        <sz val="10"/>
        <rFont val="Calibri"/>
        <family val="2"/>
        <scheme val="minor"/>
      </rPr>
      <t>Uklanjanje slojeva poda na međukatnim i temeljnim pločama do armiranog betona.</t>
    </r>
    <r>
      <rPr>
        <sz val="10"/>
        <rFont val="Calibri"/>
        <family val="2"/>
        <scheme val="minor"/>
      </rPr>
      <t xml:space="preserve">
Stavka obuhvaća uklanjanje slojeva poda do armiranog betona na mjestima predviđenim za lijepljenje karbonskih mreža (prilozi F3.1, F3.2 i F3.3, sektori S1, P1, K1). U cijenu stavke uključiti sav rad, materijal, alate i strojeve potrebne za potpuno dovršenje stavke.
Obračun je po m3 uklonjenog materijala.</t>
    </r>
  </si>
  <si>
    <t>.16</t>
  </si>
  <si>
    <t>.17</t>
  </si>
  <si>
    <r>
      <rPr>
        <b/>
        <sz val="10"/>
        <rFont val="Calibri"/>
        <family val="2"/>
        <scheme val="minor"/>
      </rPr>
      <t>Premještanje betonskih ploča na krovu.</t>
    </r>
    <r>
      <rPr>
        <sz val="10"/>
        <rFont val="Calibri"/>
        <family val="2"/>
        <scheme val="minor"/>
      </rPr>
      <t xml:space="preserve">
Stavka obuhvaća premještanje betonskih ploča na krovu iznad prostora predviđenog za sanaciju na preostalu površinu krova (prilogu F3.4), u svrhu rasterećivanja krovne ploče. Iste ploče po završetku svih radova vratiti na predhodne pozicije. U cijenu stavke uključiti sav rad, materijal, alate i strojeve potrebne za potpuno dovršenje stavke.
Obračun je po m2 premještenih betonskih ploča.</t>
    </r>
  </si>
  <si>
    <t>.18</t>
  </si>
  <si>
    <r>
      <rPr>
        <b/>
        <sz val="10"/>
        <rFont val="Calibri"/>
        <family val="2"/>
        <scheme val="minor"/>
      </rPr>
      <t>Uklanjanje slojeva ravnog krova.</t>
    </r>
    <r>
      <rPr>
        <sz val="10"/>
        <rFont val="Calibri"/>
        <family val="2"/>
        <scheme val="minor"/>
      </rPr>
      <t xml:space="preserve">
Stavka obuhvaća uklanjanje svih slojeva ravnog krova (polistirenski filc, PVC foliju, toplinsku izolaciju, parnu branu i lagani beton za pad), uključujući i rezanje armiranobetonske ploče za izvedbu otvora za odvođenje dima i topline iz stubišnih prostora (prilog F3.4) dimenzija 120x120cm. U cijenu stavke uključiti sav rad, materijal, potrebnu radnu skelu, alate i strojeve potrebne za potpuno dovršenje stavke.
Obračun je po m2 uklonjenih slojeva krova.</t>
    </r>
  </si>
  <si>
    <t>.19</t>
  </si>
  <si>
    <r>
      <rPr>
        <b/>
        <sz val="10"/>
        <rFont val="Calibri"/>
        <family val="2"/>
        <scheme val="minor"/>
      </rPr>
      <t>Postavljanje krovnih kupola za odvođenje dima i topline.</t>
    </r>
    <r>
      <rPr>
        <sz val="10"/>
        <rFont val="Calibri"/>
        <family val="2"/>
        <scheme val="minor"/>
      </rPr>
      <t xml:space="preserve">
Stavka obuhvaća postavljanje krovnih kupola dimenzija 120x120 cm za odvođenje dima i topline iz stubišnih prostora (tipa Velux ISD 0000 ili jednakovrijedno istih dimenzija), (prilog F3.4). Krovne kupole moraju biti normirane požarne otpornosti REI 90 te ugrađene od strane ovlaštenog izvođača, prema specifikacijama proizvođača. U cijenu stavke uključiti sav rad, materijal, potrebnu radnu skelu, alate i strojeve potrebne za potpuno dovršenje stavke.
Obračun je po komadu postavljenih krovnih kupola.</t>
    </r>
  </si>
  <si>
    <t>.20</t>
  </si>
  <si>
    <t>.21</t>
  </si>
  <si>
    <r>
      <rPr>
        <b/>
        <sz val="10"/>
        <rFont val="Calibri"/>
        <family val="2"/>
        <scheme val="minor"/>
      </rPr>
      <t>Skupljanje šute od žbuke i ostataka građevinskih materijala u vreće te ručno donošenje do mjesta odvoza.</t>
    </r>
    <r>
      <rPr>
        <sz val="10"/>
        <rFont val="Calibri"/>
        <family val="2"/>
        <scheme val="minor"/>
      </rPr>
      <t xml:space="preserve">
Obračun je po m3 materijala obuhvaćenog sanacijskim radovima.</t>
    </r>
  </si>
  <si>
    <t>.22</t>
  </si>
  <si>
    <r>
      <rPr>
        <b/>
        <sz val="10"/>
        <rFont val="Calibri"/>
        <family val="2"/>
        <scheme val="minor"/>
      </rPr>
      <t>Odvoz građevinskog materijala na deponij.</t>
    </r>
    <r>
      <rPr>
        <sz val="10"/>
        <rFont val="Calibri"/>
        <family val="2"/>
        <scheme val="minor"/>
      </rPr>
      <t xml:space="preserve">
Stavka obuhvaća odvoz oštećene opeke, šute i ostaloga građevinskog materijala na gradski deponij udaljen do 20 km. Otpad se razvrstava prema pravilniku o razvrstavanju otpada (NN81/2020).
Obračun je po m3 deponiranoga otpada.</t>
    </r>
  </si>
  <si>
    <r>
      <t>Uređenje pristupa požarnom stubištu.</t>
    </r>
    <r>
      <rPr>
        <sz val="10"/>
        <rFont val="Calibri"/>
        <family val="2"/>
        <scheme val="minor"/>
      </rPr>
      <t xml:space="preserve">
Stavka obuhvaća uređenje pristupa stubištu u vidu postavljanja novih kulir ploča prema dogovoru sa investitorom (prilog F3.2, sektor P5). U cijenu stavke uključiti pripremu podloge, sav rad, materijal, alate i strojeve potrebne za potpuno dovršenje stavke.
Obračun po m2 uređene površine.</t>
    </r>
  </si>
  <si>
    <t>III</t>
  </si>
  <si>
    <t>AB KONSTRUKCIJSKI RADOVI</t>
  </si>
  <si>
    <r>
      <t xml:space="preserve">Zatvaranje istražnih bušotina reparaturnim mortom.
</t>
    </r>
    <r>
      <rPr>
        <sz val="10"/>
        <rFont val="Calibri"/>
        <family val="2"/>
        <scheme val="minor"/>
      </rPr>
      <t>Stavka obuhvaća zatvaranje istražnih bušotina reparaturnim mortom (tipa R4 ili jednakovrijedno) (prilozi F2.7 i K2.5). Betonske podloge moraju biti čiste, čvrste, suhe, nesmrznute, bez ostataka oplatnog ulja i cementne skramice. Vidljivu armaturu prije nanošenja reparaturnog morta obavezno temeljito očistiti od hrđe i premazati antikorozivnim sredstvom.
Sve oštećene i slabo držeće dijelove betona kao i prašinu skinuti do zdrave podloge strujom zraka. Podlogu ohrapaviti brušenjem ili pjeskarenjem. U cijenu treba uračunati sav rad, materijal, potrebnu radnu skelu, alate i strojeve potrebne za potpuno dovršenje stavke.
Obračun po komadu istražnih bušotina.</t>
    </r>
  </si>
  <si>
    <r>
      <rPr>
        <b/>
        <sz val="10"/>
        <rFont val="Calibri"/>
        <family val="2"/>
        <scheme val="minor"/>
      </rPr>
      <t>Priprema podloge prije lijepljenja karbonskih mreža.</t>
    </r>
    <r>
      <rPr>
        <sz val="10"/>
        <rFont val="Calibri"/>
        <family val="2"/>
        <scheme val="minor"/>
      </rPr>
      <t xml:space="preserve">
Stavka obuhvaća pripremu podloga za postavljanje karbonskih mreža (prilozi F3.1, F3.2 i F3.3, sektori S1, P1, P6, K1 i prilozi F2.1, F2.2 i prilozi F5.1, F5.2, F5.3). Podloga mora biti pripremljena primjerenim alatima (uklanjanje provesti lakim ručnim i/ili pneumatskim alatima). Podloga mora biti čista (vlaga u podlozi mora biti manja 6%) bez masti i prašine i odvajajućih dijelova. Ako je podloga neravna treba je izravnati reparaturnim polimercementnim mortom. U cijenu treba uračunati materijal, potrebnu radnu skelu, alate i strojeve potrebne za potpuno dovršenje stavke.
Obračun je po m2 pripremljene podloge.</t>
    </r>
  </si>
  <si>
    <r>
      <rPr>
        <b/>
        <sz val="10"/>
        <rFont val="Calibri"/>
        <family val="2"/>
        <scheme val="minor"/>
      </rPr>
      <t>Priprema podloge prije lijepljenja karbonskih lamela.</t>
    </r>
    <r>
      <rPr>
        <sz val="10"/>
        <rFont val="Calibri"/>
        <family val="2"/>
        <scheme val="minor"/>
      </rPr>
      <t xml:space="preserve">
Stavka obuhvaća pripremu podloga za postavljanje karbonskih lamela, uključujući površinu u širini od 10 cm oko predviđenih mjesta za postavljanje lamela (prilozi F3.1, F3.2 i F3.3, sektori S1, P1, K1 i prilozi F4.1, F4.2 i F4.3). Podloga mora biti pripremljena primjerenim alatima (uklanjanje provesti lakim ručnim i/ili pneumatskim alatima). Podloga mora biti čista (vlaga u podlozi mora biti manja 6%) bez masti i prašine i odvajajućih dijelova. Ako je podloga neravna treba je izravnati reparaturnim polimercementnim mortom. U cijenu treba uračunati materijal, potrebnu radnu skelu, alate i strojeve potrebne za potpuno dovršenje stavke.
Obračun je po m2 pripremljene podloge.</t>
    </r>
  </si>
  <si>
    <r>
      <rPr>
        <b/>
        <sz val="10"/>
        <rFont val="Calibri"/>
        <family val="2"/>
        <scheme val="minor"/>
      </rPr>
      <t>Ugradnja karbonskih lamela.</t>
    </r>
    <r>
      <rPr>
        <sz val="10"/>
        <rFont val="Calibri"/>
        <family val="2"/>
        <scheme val="minor"/>
      </rPr>
      <t xml:space="preserve">
Stavka obuhvaća nabavu i ugradnju sustava ojačanja s lamelama od karbonskih vlakana vlačne nosivosti ≥ 320 kN/m (tipa Sika CarboDur S1012 ili jednakovrijedno) te lijepljene traka proizvodom uvjetovanim od strane proizvođača (prilozi F3.1, F3.2 i F3.3, sektori S1, P1, K1 i prilozi F4.1, F4.2 i F4.3). Karbonske lamele lijepe se na konstrukciju kao vezano ojačanje koristeći ljepilo na bazi epoksidne smole (tipa Sikadur 30 ili jednakovrijedno). Raspored ugradnje se nalazi u prilozima 1, 2 i 3, a opis i način ugradnje prema specifikacijama proizvođača. Faze su opisane u projektu u proračunu stropnih ploča.  U cijenu stavke uključiti sav rad, materijal, potrebnu radnu skelu, alate i strojeve potrebne za potpuno dovršenje stavke.   
Obračun je po m1 ugrađenih lamela.</t>
    </r>
  </si>
  <si>
    <r>
      <rPr>
        <b/>
        <sz val="10"/>
        <rFont val="Calibri"/>
        <family val="2"/>
        <scheme val="minor"/>
      </rPr>
      <t>Izrada rupa za sidrenu armaturu.</t>
    </r>
    <r>
      <rPr>
        <sz val="10"/>
        <rFont val="Calibri"/>
        <family val="2"/>
        <scheme val="minor"/>
      </rPr>
      <t xml:space="preserve">
Stavka obuhvaća bušenje rupa za sidrenu armaturu (ankere) u postojećoj armiranobetonskoj ploči i zidovima (prilozi F6.2 i F7.2), te dobavu i ugradnju brzostvrdnjavajućeg lijepila za sidrenje (tipa Sika AnchorFix2 ili jednakovrijedno). Rupe izbušiti u dubini od 15 cm u postojećoj armiranobetonskoj nosivoj konstrukciji te iste ispuhati komprimiranim zrakom prije ugradnje ljepila za sidrenje. U cijenu stavke uključiti sav rad, materijal, potrebnu radnu skelu, alate i strojeve potrebne za potpuno dovršenje stavke.
Obračun je po broju bušnih mjesta.</t>
    </r>
  </si>
  <si>
    <r>
      <rPr>
        <b/>
        <sz val="10"/>
        <rFont val="Calibri"/>
        <family val="2"/>
        <scheme val="minor"/>
      </rPr>
      <t>Postavljanje rebraste armature.</t>
    </r>
    <r>
      <rPr>
        <sz val="10"/>
        <rFont val="Calibri"/>
        <family val="2"/>
        <scheme val="minor"/>
      </rPr>
      <t xml:space="preserve">
Stavka obuhvaća dobavu, sječenje, savijanje, postavljanje i vezivanje rebraste armature B500B u novi armiranobetonski nosivi zid i armiranobetonsko stubište, sve prema nacrtu armature (prilozi F6.2 i F7.2). Cijena stavke uključuje nabavu i prijevoz rebraste armature; razvrstavanje i čišćenje, sječenje i savijanje; prijevoz i prijenos; postavljanje, podlaganje i vezanje te eventualno zavarivanje. U cijenu stavke uključiti sav rad, materijal, potrebnu radnu skelu, alate i strojeve potrebne za potpuno dovršenje stavke.
Obračun je po kilogramu ugrađene armature.</t>
    </r>
  </si>
  <si>
    <t>kg</t>
  </si>
  <si>
    <r>
      <rPr>
        <b/>
        <sz val="10"/>
        <rFont val="Calibri"/>
        <family val="2"/>
        <scheme val="minor"/>
      </rPr>
      <t>Postavljanje mrežaste armature.</t>
    </r>
    <r>
      <rPr>
        <sz val="10"/>
        <rFont val="Calibri"/>
        <family val="2"/>
        <scheme val="minor"/>
      </rPr>
      <t xml:space="preserve">
Stavka obuhvaća dobavu, sječenje, savijanje, postavljanje i vezivanje mrežaste armature Q257 B500A u novo armiranobetonsko stubište, sve prema nacrtu armature (prilog F7.2). Cijena stavke uključuje nabavu i prijevoz mrežaste armature; razvrstavanje i čišćenje, sječenje i savijanje; prijevoz i prijenos; postavljanje, podlaganje i vezanje te eventualno zavarivanje. U cijenu stavke uključiti sav rad, materijal, alate i strojeve potrebne za potpuno dovršenje stavke.
Obračun je po kilogramu ugrađene armature.</t>
    </r>
  </si>
  <si>
    <r>
      <rPr>
        <b/>
        <sz val="10"/>
        <rFont val="Calibri"/>
        <family val="2"/>
        <scheme val="minor"/>
      </rPr>
      <t>Ugradnja obostrane oplate za dodatne AB zidove.</t>
    </r>
    <r>
      <rPr>
        <sz val="10"/>
        <rFont val="Calibri"/>
        <family val="2"/>
        <scheme val="minor"/>
      </rPr>
      <t xml:space="preserve">
Stavka obuhvaća dobavu, montažu i demontaže oplate za izvedbu armirano-betonskih zidova širine 20 cm. Oplatu izvesti kao dvostanu glatku oplatu (prilog F6.1). U cijenu stavke uključiti sav rad, materijal, potrebnu radnu skelu, alate i strojeve potrebne za potpuno dovršenje stavke.
Obračun je po m2 potrebne oplate.</t>
    </r>
  </si>
  <si>
    <r>
      <rPr>
        <b/>
        <sz val="10"/>
        <rFont val="Calibri"/>
        <family val="2"/>
        <scheme val="minor"/>
      </rPr>
      <t>Ugradnja oplate za AB stubište.</t>
    </r>
    <r>
      <rPr>
        <sz val="10"/>
        <rFont val="Calibri"/>
        <family val="2"/>
        <scheme val="minor"/>
      </rPr>
      <t xml:space="preserve">
Stavka obuhvaća dobavu, montažu i demontaže oplate za izvedbu armirano-betonskog stubišta. Oplatu izvesti kao dvostanu glatku oplatu (prilog F7.1). U cijenu stavke uključiti sav rad, materijal, potrebnu radnu skelu, alate i strojeve potrebne za potpuno dovršenje stavke.
Obračun je po m2 potrebne oplate.</t>
    </r>
  </si>
  <si>
    <r>
      <rPr>
        <b/>
        <sz val="10"/>
        <rFont val="Calibri"/>
        <family val="2"/>
        <scheme val="minor"/>
      </rPr>
      <t>Betoniranje armiranobetonskog zida.</t>
    </r>
    <r>
      <rPr>
        <sz val="10"/>
        <rFont val="Calibri"/>
        <family val="2"/>
        <scheme val="minor"/>
      </rPr>
      <t xml:space="preserve">
Stavka obuhvaća dobavu i ugrađivanje betona razreda tlačne čvrstoće C 30/37 za izvedbu novog armiranobetonskog zida debljine 20 cm (prilog F6.1 i F6.2). Cijena stavke uključuje nabavu i spravljanje betona; nabijanje, ravnanje, završnu obradu i njegu betona. U cijenu stavke uključiti sav rad, materijal, potrebnu radnu skelu, alate i strojeve potrebne za potpuno dovršenje stavke.
Obračun je po m3 ugrađenog betona.</t>
    </r>
  </si>
  <si>
    <r>
      <rPr>
        <b/>
        <sz val="10"/>
        <rFont val="Calibri"/>
        <family val="2"/>
        <scheme val="minor"/>
      </rPr>
      <t>Betoniranje armiranobetonskog stubišta i podesta.</t>
    </r>
    <r>
      <rPr>
        <sz val="10"/>
        <rFont val="Calibri"/>
        <family val="2"/>
        <scheme val="minor"/>
      </rPr>
      <t xml:space="preserve">
Stavka obuhvaća dobavu i ugrađivanje betona razreda tlačne čvrstoće C 25/30 za izvedbu novog požarnog armiranobetonskog stubišta i podesta (prilog F7.1 i F7.2). Cijena stavke uključuje nabavu i spravljanje betona; nabijanje, ravnanje, završnu obradu i njegu betona. U cijenu stavke uključiti sav rad, materijal, potrebnu radnu skelu, alate i strojeve potrebne za potpuno dovršenje stavke.
Obračun je po m3 ugrađenog betona.</t>
    </r>
  </si>
  <si>
    <t>.23</t>
  </si>
  <si>
    <t>.24</t>
  </si>
  <si>
    <t>.25</t>
  </si>
  <si>
    <r>
      <t xml:space="preserve">Ugradnja prozora širine 135 cm.
</t>
    </r>
    <r>
      <rPr>
        <sz val="10"/>
        <rFont val="Calibri"/>
        <family val="2"/>
        <scheme val="minor"/>
      </rPr>
      <t xml:space="preserve">Stavka obuhvaća dobavu i ugradnju  prozora širine 135 cm i visine 125 cm te pripadajuće prozorske klupčice (prilozi F3.2, sektor P5). Prozor mora biti ugrađen od strane ovlaštenog izvođača, prema specifikacijama proizvođača. U cijenu stavke uključiti sav rad, materijal, potrebnu radnu skelu, alate i strojeve potrebne za potpuno dovršenje stavke.
Obračun je po komadu ugrađenog prozora. </t>
    </r>
  </si>
  <si>
    <t>.26</t>
  </si>
  <si>
    <r>
      <t xml:space="preserve">Ugradnja staklene stijene na ulazu u građevinu.
</t>
    </r>
    <r>
      <rPr>
        <sz val="10"/>
        <rFont val="Calibri"/>
        <family val="2"/>
        <scheme val="minor"/>
      </rPr>
      <t xml:space="preserve">Stavka obuhvaća dobavu i ugradnju staklene stijene ukupne širine 1555 cm i visine 355 cm (prilog F3.2, sektor P6). Ugradnja prema uputama proizvođača. U cijenu stavke uključiti sav rad, materijal, potrebnu radnu skelu, alate i strojeve potrebne za potpuno dovršenje stavke.
Obračun je po kompletu ugrađene staklene stijene. </t>
    </r>
  </si>
  <si>
    <t>IV</t>
  </si>
  <si>
    <t>IZOLATERSKI RADOVI</t>
  </si>
  <si>
    <r>
      <rPr>
        <b/>
        <sz val="10"/>
        <rFont val="Calibri"/>
        <family val="2"/>
        <scheme val="minor"/>
      </rPr>
      <t>Izrada slojeva poda na armiranobetonskim stropnim i temljnim pločama.</t>
    </r>
    <r>
      <rPr>
        <sz val="10"/>
        <rFont val="Calibri"/>
        <family val="2"/>
        <scheme val="minor"/>
      </rPr>
      <t xml:space="preserve">
Stavka uključuje izradu plijavajućeg poda sa svim pripadajućim slojevima koji uključuju betonski estrih debljine 7,5 cm, PE foliju te toplinsku izolaciju (EPS ploče) debljine 2 cm i hidroizolaciju na temeljnoj ploči (prilozi F3.1, F3.2 i F3.3, sektori S1, P1, K1). U cijenu stavke uključiti sav rad, materijal, alate i strojeve potrebne za potpuno dovršenje stavke.
Obračun je po m2 poda. </t>
    </r>
  </si>
  <si>
    <r>
      <rPr>
        <b/>
        <sz val="10"/>
        <rFont val="Calibri"/>
        <family val="2"/>
        <scheme val="minor"/>
      </rPr>
      <t xml:space="preserve">Izrada slojeva ravnog krova.
</t>
    </r>
    <r>
      <rPr>
        <sz val="10"/>
        <rFont val="Calibri"/>
        <family val="2"/>
        <scheme val="minor"/>
      </rPr>
      <t>Nakon postavljanja krovnih kupola potrebno je uz otvore postaviti nove slojeve ravnog krova prema pravilima struke kako ne bi došlo do njihovog oštećenja te nepovoljnog utjecaja na nosivu konstrukciju zgrade. Stavka obuhvaća postavu polistirenskog filca, PVC folije, toplinske izolacije (XPS kaširan bitumenskom ljepenkom s uloškom staklenog voala - 8 cm) te parne brane. U cijenu treba uračunatu, materijal, potrebnu radnu skelu, alate i strojeve potrebne za potpuno dovršenje stavke.
Obračun je po m2 površine.</t>
    </r>
  </si>
  <si>
    <t>V</t>
  </si>
  <si>
    <t>ZIDARSKI RADOVI</t>
  </si>
  <si>
    <r>
      <rPr>
        <b/>
        <sz val="10"/>
        <rFont val="Calibri"/>
        <family val="2"/>
        <scheme val="minor"/>
      </rPr>
      <t>Sanacija sljubnica mortom visoke duktilnosti do dubine potrebne za nastavak sanacijskih radova.</t>
    </r>
    <r>
      <rPr>
        <sz val="10"/>
        <rFont val="Calibri"/>
        <family val="2"/>
        <scheme val="minor"/>
      </rPr>
      <t xml:space="preserve">
Nevezane i trošne sljubnice treba ukloniti u dubini 3 do 4 cm (prilozi F2.1, F2.2, F2.3, F2.4, F2.5, F2.6, K2.1, K2.2, K2.3, K2.4). Na mjestima uklonjenoga postojećeg morta vrši se ugradnja morta za zapunjavanje sljubnica. Mort se nanosi između elemenata ziđa lopaticom, lagano pritiskujući kako bi se poboljšala prionjivost. Višak morta treba ukloniti odmah nakon ugradnje te, ako treba, očistiti sljubnice vlažnom spužvom ili četkom. U cijenu treba uračunatu, materijal, potrebnu radnu skelu, alate i strojeve potrebne za potpuno dovršenje stavke.
Obračun je po m2 zapunjenih sljubnica.</t>
    </r>
  </si>
  <si>
    <r>
      <rPr>
        <b/>
        <sz val="10"/>
        <rFont val="Calibri"/>
        <family val="2"/>
        <scheme val="minor"/>
      </rPr>
      <t>Izvedba ravnog spuštenog stropa od gips kartonskih ploča .</t>
    </r>
    <r>
      <rPr>
        <sz val="10"/>
        <rFont val="Calibri"/>
        <family val="2"/>
        <scheme val="minor"/>
      </rPr>
      <t xml:space="preserve">
Izrada ravnog spuštenog stropa od gips-kartonskih ploča sa spuštanjem do 15,00 cm na pocinčanu podkonstrukciju izvedenu od tipskih pocinčanih UD i CD profila, bandažiranje i gletanje do faze gotovosti za soboslikarsko-ličilačke radove (prilozi F3.1, F3.2 i F3.3, sektori S1, P1, K1). U cijenu stavke uključiti sav rad, materijal, potrebnu radnu skelu, alate i strojeve potrebne za potpuno dovršenje stavke.
Obračun je po m2 spuštenog stropa. </t>
    </r>
  </si>
  <si>
    <r>
      <rPr>
        <b/>
        <sz val="10"/>
        <rFont val="Calibri"/>
        <family val="2"/>
        <scheme val="minor"/>
      </rPr>
      <t>Izrada zidova od blokova pjenobetona.</t>
    </r>
    <r>
      <rPr>
        <sz val="10"/>
        <rFont val="Calibri"/>
        <family val="2"/>
        <scheme val="minor"/>
      </rPr>
      <t xml:space="preserve">
Stavka uključuje izradu zidova od blokova pjenobetona, debljine 10 i 15cm, zahtjevane požarne otpornosti REI90 (prilozi F3.1, F3.2 i F3.3, sektori S1, S2, S3, S4, P1, P2, P3, P4, K1, K2 i K3). Stavka obuhvaća dobavu i ugradnju blokova i vapneno-cementnoga morta M5, kao i spravljanje vapneno-cementnoga morta. U cijenu stavke uključiti sav rad, materijal, potrebnu radnu skelu, alate i strojeve potrebne za potpuno dovršenje stavke.
Obračun je po m2 zida. </t>
    </r>
  </si>
  <si>
    <r>
      <t xml:space="preserve">Izrada završnih slojevi gazišta stubišta i podesta.
</t>
    </r>
    <r>
      <rPr>
        <sz val="10"/>
        <rFont val="Calibri"/>
        <family val="2"/>
        <scheme val="minor"/>
      </rPr>
      <t>Stavka buhvaća izradu slojeva gazišta požarnog stubišta (prilog F3.2, sektor P5) estriha, protuklizne keramike, kamena ili jednakovrijedno prema dogovoru sa investitorom. U cijenu uračunat sav rad, materijal, potrebnu radnu skelu, alate i strojeve potrebne za potpuno dovršenje stavke.
Obračun je po m2 izvedene površine.</t>
    </r>
  </si>
  <si>
    <r>
      <t xml:space="preserve">Ugradnja kutnih lajsni na spoju zidova i podova.
</t>
    </r>
    <r>
      <rPr>
        <sz val="10"/>
        <rFont val="Calibri"/>
        <family val="2"/>
        <scheme val="minor"/>
      </rPr>
      <t>Stavka obuhvaća dobavu i ugradnju lajsni prema dogovoru sa investitorom na spojevima zidova i podova na mjestima predviđenim za sanaciju (prilozi F3.1, F3.2 i F3.3, sektori S1, S2, S3, S4, P1, P2, P3, P4, K1, K2, K3), U cijenu uključena nabava, sav rad, materijal, potrebnu radnu skelu, alate i strojeve potrebne za potpuno dovršenje stavke.</t>
    </r>
    <r>
      <rPr>
        <b/>
        <sz val="10"/>
        <rFont val="Calibri"/>
        <family val="2"/>
        <scheme val="minor"/>
      </rPr>
      <t xml:space="preserve">
</t>
    </r>
    <r>
      <rPr>
        <sz val="10"/>
        <rFont val="Calibri"/>
        <family val="2"/>
        <scheme val="minor"/>
      </rPr>
      <t>Obračun po m1 ugrađene lajsne.</t>
    </r>
  </si>
  <si>
    <t>VI</t>
  </si>
  <si>
    <t>LIMARSKI RADOVI</t>
  </si>
  <si>
    <r>
      <t xml:space="preserve">Ugradnja ograde stubišta.
</t>
    </r>
    <r>
      <rPr>
        <sz val="10"/>
        <rFont val="Calibri"/>
        <family val="2"/>
        <scheme val="minor"/>
      </rPr>
      <t>Stavka obuhvaća dobavu i ugradnju ograde požarnog stubišta (prilog F3.2, sektor P5), U cijenu uključena nabava, sav rad, materijal, potrebnu radnu skelu, alate i strojeve potrebne za potpuno dovršenje stavke.</t>
    </r>
    <r>
      <rPr>
        <b/>
        <sz val="10"/>
        <rFont val="Calibri"/>
        <family val="2"/>
        <scheme val="minor"/>
      </rPr>
      <t xml:space="preserve">
</t>
    </r>
    <r>
      <rPr>
        <sz val="10"/>
        <rFont val="Calibri"/>
        <family val="2"/>
        <scheme val="minor"/>
      </rPr>
      <t>Obračun po m1 ugrađene ograde.</t>
    </r>
  </si>
  <si>
    <t>VII</t>
  </si>
  <si>
    <t>FASADERSKI RADOVI</t>
  </si>
  <si>
    <r>
      <t xml:space="preserve">Izrada fasade na novim zidovima.
</t>
    </r>
    <r>
      <rPr>
        <sz val="10"/>
        <rFont val="Calibri"/>
        <family val="2"/>
        <scheme val="minor"/>
      </rPr>
      <t xml:space="preserve">Stavka obuhvaća dobavu i ugradnju materijala za izradu fasade na mjestima novog nosivog zida (prilozi F3.1, F3.2 i F3.3, sektori S1, P1, P5, K1). Slojevi fasade uključuju toplinsku izolaciju (EPS ploče) debljine 6 cm, opeku normalnog formata dimenzija 25x12x6,5 cm slagane u jednom sloju te završnu žbuku i bojanje. Stavka obuhvaća dobavu i ugradnju sloja toplinske izolacije, opečnih blokova, završnih slojeva fasade i vapneno-cementnoga morta M5, kao i spravljanje vapneno-cementnoga morta. U cijenu stavke uključiti sav rad, materijal, alate i strojeve potrebne za potpuno dovršenje stavke.
Obračun je po m2 zida. </t>
    </r>
  </si>
  <si>
    <r>
      <t xml:space="preserve">Žbukanje fasade.
</t>
    </r>
    <r>
      <rPr>
        <sz val="10"/>
        <rFont val="Calibri"/>
        <family val="2"/>
        <scheme val="minor"/>
      </rPr>
      <t>Ponovno žbukanje otvorenih površina (tipa Rofix Renoplusom ili jednakovrijedno)(prilozi F2.1, F2.2, F2.3, F2.4, F2.5, F2.6, K2.1, K2.2, K2.3, K2.4). Nenosive stare žbuke ili premaze je potrebno predhodno ukloniti. Podloga treba biti dobro očišćena i suha. Žbukanje se izvodi do stadija grube žbuke. U cijenu uključena izvedba cementnog šprica, sav potreban materijal i rad za izvedbu grube i fine žbuke.
Obračun po m2 izvedene žbuke i bojanja.</t>
    </r>
  </si>
  <si>
    <r>
      <t xml:space="preserve">Bojanje fasade.
</t>
    </r>
    <r>
      <rPr>
        <sz val="10"/>
        <rFont val="Calibri"/>
        <family val="2"/>
        <scheme val="minor"/>
      </rPr>
      <t xml:space="preserve">Stavka obuhvaća nabavu, dopremu i bojanje svih površina bojom za pročelja na bazi silikona u svijetlom tonu prema odabiru investitora (prilozi F2.1, F2.2, F2.3, F2.4, F2.5, F2.6, K2.1, K2.2, K2.3, K2.4). Boja se nanosi prema potrebi u 2 do 3 sloja sve prema uputama proizvođača boje. U cijenu stavke uključiti sav rad, materijal, alate i strojeve potrebne za potpuno dovršenje stavke.
Obračun je po m2. </t>
    </r>
  </si>
  <si>
    <t>VIII</t>
  </si>
  <si>
    <t>PARKETARSKI RADOVI</t>
  </si>
  <si>
    <r>
      <t xml:space="preserve">Postava parketa
</t>
    </r>
    <r>
      <rPr>
        <sz val="10"/>
        <rFont val="Calibri"/>
        <family val="2"/>
        <scheme val="minor"/>
      </rPr>
      <t>Postava parketa lijepljenjem,postava  folije i postava kutnih letvica i lakiranje. U cijenu stavke uključiti sav rad, nabavu parketa, materijal, alate i strojeve potrebne za potpuno dovršenje stavke. 
Obračun je po m2 površine.</t>
    </r>
  </si>
  <si>
    <t>IX</t>
  </si>
  <si>
    <t>SOBOSLIKARSKI RADOVI</t>
  </si>
  <si>
    <t>MATERIJAL</t>
  </si>
  <si>
    <t>RAD</t>
  </si>
  <si>
    <t>STARA CIJENA</t>
  </si>
  <si>
    <t>T1
EL-FAKS</t>
  </si>
  <si>
    <t>T1
EL-KNJIZNICA</t>
  </si>
  <si>
    <t>T2.1
UČIONICE</t>
  </si>
  <si>
    <t>T2.5
POŽARCI</t>
  </si>
  <si>
    <t>T2.2
STRUJA</t>
  </si>
  <si>
    <t>T2.3
STROJAR</t>
  </si>
  <si>
    <t>T2.4
VODA</t>
  </si>
  <si>
    <t>X</t>
  </si>
  <si>
    <t>INSTALACIJSKI RADOVI</t>
  </si>
  <si>
    <r>
      <t xml:space="preserve">Isključivanje sistema grijanja iz rada.
</t>
    </r>
    <r>
      <rPr>
        <sz val="10"/>
        <color theme="1"/>
        <rFont val="Calibri"/>
        <family val="2"/>
        <scheme val="minor"/>
      </rPr>
      <t>Stavka obuhvaća isključivanje iz rada postojećeg sistema grijanja i pražnjenje sistema. U cijenu stavke uključiti sav rad, materijal, alate i strojeve potrebne za potpuno dovršenje stavke.
Obračun po kompletu provedenih radova isključivanja iz rada.</t>
    </r>
  </si>
  <si>
    <r>
      <t xml:space="preserve">Demontaža radijatora.
</t>
    </r>
    <r>
      <rPr>
        <sz val="10"/>
        <color theme="1"/>
        <rFont val="Calibri"/>
        <family val="2"/>
        <scheme val="minor"/>
      </rPr>
      <t>Stavka obuhvaća demontažu postojećih aluminijskih radijatora Lipovica Ekonomik 690 od 21 do 24 rebra sa pripadajućom opremom zapisnički uz prisutnost nadzornog inženjera i investitora te pažljivo skladištenje istih u prostor prema dogovoru s investitorom. U cijenu stavke uključiti sav rad, materijal, alate i strojeve potrebne za potpuno dovršenje stavke.
Obračun po komadu demontiranih radijatora.</t>
    </r>
  </si>
  <si>
    <r>
      <t xml:space="preserve">Zaštita plinske instalacije.
</t>
    </r>
    <r>
      <rPr>
        <sz val="10"/>
        <color theme="1"/>
        <rFont val="Calibri"/>
        <family val="2"/>
        <scheme val="minor"/>
      </rPr>
      <t>Stavka obuhvaća zaštitu čelične bešavne plinske instalacije drvenom oplatom za vrijeme građevinskih radova. U cijenu stavke uključiti sav rad, materijal, alate i strojeve potrebne za potpuno dovršenje stavke.
Obračun po kompletu izvedenih radova.</t>
    </r>
  </si>
  <si>
    <r>
      <t xml:space="preserve">Postavljanje ventilacijske rešetke.
</t>
    </r>
    <r>
      <rPr>
        <sz val="10"/>
        <color theme="1"/>
        <rFont val="Calibri"/>
        <family val="2"/>
        <scheme val="minor"/>
      </rPr>
      <t>Stavka obuhvaća nabavu i postavljanje fasadne ventilacijske protukišne rešetke sa zaštitnom mrežicom dimenzija cca 15x15cm.  U cijenu stavke uključiti sav rad, materijal, alate i strojeve potrebne za potpuno dovršenje stavke.
Obračun po kompletu izvedenih radova.</t>
    </r>
  </si>
  <si>
    <r>
      <t xml:space="preserve">Postavljanje radijatora.
</t>
    </r>
    <r>
      <rPr>
        <sz val="10"/>
        <color theme="1"/>
        <rFont val="Calibri"/>
        <family val="2"/>
        <scheme val="minor"/>
      </rPr>
      <t>Stavka obuhvaća nabavu i postavljanje aluminijskih radijatora tlaka do 4 bara Lipovica tip Ekonomik 690 (kao postojeći radijator u istoj sobi ili jednakovrijedan), isporuka ukupno 2 baterije (30 članaka). U cijenu stavke uključiti sav rad, materijal, alate i strojeve potrebne za potpuno dovršenje stavke.
Obračun po komadu postavljenih radijatora.</t>
    </r>
  </si>
  <si>
    <r>
      <t xml:space="preserve">Postavljanje termostatskih radijatorskih ventila.
</t>
    </r>
    <r>
      <rPr>
        <sz val="10"/>
        <color theme="1"/>
        <rFont val="Calibri"/>
        <family val="2"/>
        <scheme val="minor"/>
      </rPr>
      <t>Stavka obuhvaća nabavu i postavljanje termostatskih radijatorskih ventila sa termostatskom glavom, ravni za dvocijevne sustave toplovodnog grijanja sa prisilnom cirkulacijom i normalnom temperaturnom razlikom sa prednamještanjem temperature. Tijelo ventila je otporno na koroziju i starenje. Brtvljenje oko klipa sa O brtvama. Spoj na termostatsku glavu preko navojnog priključka, dimenzija DN15-1/2". U cijenu stavke uključiti sav rad, materijal, alate i strojeve potrebne za potpuno dovršenje stavke.
Obračun po komadu postavljenih termostatskih ventila.</t>
    </r>
  </si>
  <si>
    <r>
      <t xml:space="preserve">Postavljanje radijatorskih ventila.
</t>
    </r>
    <r>
      <rPr>
        <sz val="10"/>
        <color theme="1"/>
        <rFont val="Calibri"/>
        <family val="2"/>
        <scheme val="minor"/>
      </rPr>
      <t>Stavka obuhvaća nabavu i postavljanje radijatorskih ventila dimenzija DN25-1". U cijenu stavke uključiti sav rad, materijal, alate i strojeve potrebne za potpuno dovršenje stavke.
Obračun po komadu postavljenih ventila.</t>
    </r>
  </si>
  <si>
    <r>
      <t xml:space="preserve">Postavljanje radijatorske prigušnice.
</t>
    </r>
    <r>
      <rPr>
        <sz val="10"/>
        <color theme="1"/>
        <rFont val="Calibri"/>
        <family val="2"/>
        <scheme val="minor"/>
      </rPr>
      <t>Stavka obuhvaća nabavu i postavljanje radijatorske radijatorske prigušnice, ravne sa mogućnošću zatvaranja. Tijelo prigušnice je otporno na koroziju i starenje,  dimenzija NO15-1/2". U cijenu stavke uključiti sav rad, materijal, alate i strojeve potrebne za potpuno dovršenje stavke.
Obračun po komadu postavljenih prigušnica.</t>
    </r>
  </si>
  <si>
    <r>
      <t xml:space="preserve">Postavljanje rozeta.
</t>
    </r>
    <r>
      <rPr>
        <sz val="10"/>
        <color theme="1"/>
        <rFont val="Calibri"/>
        <family val="2"/>
        <scheme val="minor"/>
      </rPr>
      <t>Stavka obuhvaća nabavu i postavljanje ukrasnih rozeta, duplih.  U cijenu stavke uključiti sav rad, materijal, alate i strojeve potrebne za potpuno dovršenje stavke.
Obračun po komadu postavljenih rozeta.</t>
    </r>
  </si>
  <si>
    <r>
      <t xml:space="preserve">Postavljanje bakrene cijevi Ø18.
</t>
    </r>
    <r>
      <rPr>
        <sz val="10"/>
        <color theme="1"/>
        <rFont val="Calibri"/>
        <family val="2"/>
        <scheme val="minor"/>
      </rPr>
      <t>Stavka obuhvaća nabavu i postavljanje bakrene cijevi sa toplinskom izolacijom i fitinzima Ø18. U cijenu stavke uključiti sav rad, materijal, alate i strojeve potrebne za potpuno dovršenje stavke.
Obračun po m' postavljene cijevi.</t>
    </r>
  </si>
  <si>
    <r>
      <t xml:space="preserve">Postavljanje bakrene cijevi Ø15.
</t>
    </r>
    <r>
      <rPr>
        <sz val="10"/>
        <color theme="1"/>
        <rFont val="Calibri"/>
        <family val="2"/>
        <scheme val="minor"/>
      </rPr>
      <t>Stavka obuhvaća nabavu i postavljanje bakrene cijevi sa toplinskom izolacijom i fitinzima Ø15. U cijenu stavke uključiti sav rad, materijal, alate i strojeve potrebne za potpuno dovršenje stavke.
Obračun po m' postavljene cijevi.</t>
    </r>
  </si>
  <si>
    <r>
      <t xml:space="preserve">Punjenje sistema grijanja.
</t>
    </r>
    <r>
      <rPr>
        <sz val="10"/>
        <color theme="1"/>
        <rFont val="Calibri"/>
        <family val="2"/>
        <scheme val="minor"/>
      </rPr>
      <t>Stavka obuhvaća punjenje sistema grijanja sa omekšalom vodom. U cijenu stavke uključiti sav rad, materijal, alate i strojeve potrebne za potpuno dovršenje stavke.
Obračun po kompletu izvedenih radova.</t>
    </r>
  </si>
  <si>
    <r>
      <t xml:space="preserve">Uklanjanje slojeva poda.
</t>
    </r>
    <r>
      <rPr>
        <sz val="10"/>
        <color theme="1"/>
        <rFont val="Calibri"/>
        <family val="2"/>
        <scheme val="minor"/>
      </rPr>
      <t>Stavka obuhvaća uklanjanje slojeva poda za vođenje istalacija od prespoja prema izmještenom radijatoru. U cijenu stavke uključiti sav rad, materijal, alate i strojeve potrebne za potpuno dovršenje stavke.
Obračun po m' uklonjenih slojeva.</t>
    </r>
  </si>
  <si>
    <r>
      <t xml:space="preserve">Potrošni materijal.
</t>
    </r>
    <r>
      <rPr>
        <sz val="10"/>
        <color theme="1"/>
        <rFont val="Calibri"/>
        <family val="2"/>
        <scheme val="minor"/>
      </rPr>
      <t>Stavka obuhvaća troškove sitnog potrošnog materijala za montažu navedene opreme (srebro, žica, vijci, matice, brtve, brtvena masa za sanaciju svih prodora, tiple i sl.).
Obračun po kompletu potrebnog materijala.</t>
    </r>
  </si>
  <si>
    <r>
      <t xml:space="preserve">Prijevoz opreme i alata.
</t>
    </r>
    <r>
      <rPr>
        <sz val="10"/>
        <color theme="1"/>
        <rFont val="Calibri"/>
        <family val="2"/>
        <scheme val="minor"/>
      </rPr>
      <t>Stavka obuhvaća dopremu navedene opreme, materijala i alata na gradilište te povrat alata i eventualno preostalog materijala do skladišta izvođača. 
Obračun po kompletu prijevoza.</t>
    </r>
  </si>
  <si>
    <r>
      <t xml:space="preserve">Izvođenje prespoja.
</t>
    </r>
    <r>
      <rPr>
        <sz val="10"/>
        <color theme="1"/>
        <rFont val="Calibri"/>
        <family val="2"/>
        <scheme val="minor"/>
      </rPr>
      <t>Stavka obuhvaća izvođenje prespoja na postojeću instalaciju grijanja bakrenim fitinzima Ø15 i Ø18 za spajanje novih radijatora i za izmiještanje postojećeg radijatora. U cijenu stavke uključiti sav rad, materijal, alate i strojeve potrebne za potpuno dovršenje stavke.
Obračun po kompletu izvedenih radova.</t>
    </r>
  </si>
  <si>
    <r>
      <t xml:space="preserve">Montaža postojećih radijatora.
</t>
    </r>
    <r>
      <rPr>
        <sz val="10"/>
        <color theme="1"/>
        <rFont val="Calibri"/>
        <family val="2"/>
        <scheme val="minor"/>
      </rPr>
      <t>Stavka obuhvaća montažu postojećih radijatora na isto mjetsto nakon izvođenja građevinskih radova. U cijenu stavke uključiti sav rad, materijal, alate i strojeve potrebne za potpuno dovršenje stavke.
Obračun po kompletu izvedenih radova.</t>
    </r>
  </si>
  <si>
    <r>
      <t xml:space="preserve">Montaža opreme i materijala instalacije pogona do pune pogonske gotovosti.
</t>
    </r>
    <r>
      <rPr>
        <sz val="10"/>
        <color theme="1"/>
        <rFont val="Calibri"/>
        <family val="2"/>
        <scheme val="minor"/>
      </rPr>
      <t>Stavka obuhvaća montažu opreme i materijala instalacije pogona do pune pogonske gotovosti uključivo radove bušenja, štemanja, sanacije, tlačne probe, balansiranja mreže. Ispitivanje instalacije na čvrstoću i nepropusnost. Ispiranje cjevne instalacije, puštanje u rad od ovlaštenog servisera probni pogon, podešavanje radnih parametara, te eventualno ispravljanje uočenih nedostataka. U cijenu stavke uključiti sav rad, materijal, alate i strojeve potrebne za potpuno dovršenje stavke.
Obračun po kompletu izvedenih radova.</t>
    </r>
  </si>
  <si>
    <r>
      <t xml:space="preserve">Priprema dokumentacije strojarskih instalacija.
</t>
    </r>
    <r>
      <rPr>
        <sz val="10"/>
        <color theme="1"/>
        <rFont val="Calibri"/>
        <family val="2"/>
        <scheme val="minor"/>
      </rPr>
      <t>Stavka obuhvaća pripremu dokumentaacije za primopredaju radova i primopredaju radova. 
Obračun po kompletu.</t>
    </r>
  </si>
  <si>
    <r>
      <rPr>
        <b/>
        <sz val="10"/>
        <color theme="1"/>
        <rFont val="Calibri"/>
        <family val="2"/>
        <scheme val="minor"/>
      </rPr>
      <t>Zaštita plinske instalacije.</t>
    </r>
    <r>
      <rPr>
        <sz val="10"/>
        <color theme="1"/>
        <rFont val="Calibri"/>
        <family val="2"/>
        <scheme val="minor"/>
      </rPr>
      <t xml:space="preserve">
Stavka obuhvaća nabavu, dopremu i izvedbu zaštite plinske cijevi, uključujući izvedbu dva otvora na fasadi promjera 15 cm te jedan otvor u unutrašnjem zidu promjera 15 cm (prilog F3.1, sektor P6). Zaštita plinske cijevi podrazumijeva postavljanje četverostrane obloge (kutijasta zaštita) od protupožarnih ploča debljine 20 mm (tipa Promatect-H ili jednakovrijedno) te postavljanje protupožarnih obujmica (tipa Promatstop - FC3 ili jednakovrijedno) za ukupno pet prodora kroz zidove objekta (četiri prodora u unutrašnjim zidovima te jedan prodor u fasadnom zidu). Opis i način ugradnje prema specifikacijama proizvođača. U cijenu stavke uključiti sav rad, materijal, potrebnu radnu skelu, alate i strojeve potrebne za potpuno dovršenje stavke. 
Obračun po m' potrebne zaštite plinske cijevi.</t>
    </r>
  </si>
  <si>
    <t>TROŠKOVNIK T3
objedinjeni troškovnik svih radova faze I.</t>
  </si>
  <si>
    <t>troškovnik građevinskih radova - dovođenje građevine u stanje prije potresa</t>
  </si>
  <si>
    <t>T1</t>
  </si>
  <si>
    <t>T2</t>
  </si>
  <si>
    <t>troškovnik građevinskih radova -dodatna ojačanja konstrukcije i prilagodba suvremenim uvjetima korištenja i sigurnosti</t>
  </si>
  <si>
    <t>T2.1</t>
  </si>
  <si>
    <t>T2.2</t>
  </si>
  <si>
    <t>T2.3</t>
  </si>
  <si>
    <t>T2.4</t>
  </si>
  <si>
    <t>T2.5</t>
  </si>
  <si>
    <t>radovi konstrukcijske obnove</t>
  </si>
  <si>
    <t>elektroinstalaterski radovi</t>
  </si>
  <si>
    <t>strojarski radovi</t>
  </si>
  <si>
    <t>radovi vodovoda i odvodnje</t>
  </si>
  <si>
    <t>radovi za ZOP</t>
  </si>
  <si>
    <t>SVUKUPNO</t>
  </si>
  <si>
    <t>MAX</t>
  </si>
  <si>
    <t>RAZLIKA</t>
  </si>
  <si>
    <t>TROŠKOVNIK
radova vodovoda i odvodnje</t>
  </si>
  <si>
    <r>
      <t xml:space="preserve">Dorada razdjelnika kata.
</t>
    </r>
    <r>
      <rPr>
        <sz val="10"/>
        <color theme="1"/>
        <rFont val="Calibri"/>
        <family val="2"/>
        <scheme val="minor"/>
      </rPr>
      <t xml:space="preserve">Stavka obuhvaća doradu razdjelnika kata i usklađenje s novom jednopolnom shemom uključujući: </t>
    </r>
    <r>
      <rPr>
        <b/>
        <sz val="10"/>
        <color theme="1"/>
        <rFont val="Calibri"/>
        <family val="2"/>
        <scheme val="minor"/>
      </rPr>
      <t xml:space="preserve">                                                                       </t>
    </r>
    <r>
      <rPr>
        <sz val="10"/>
        <color theme="1"/>
        <rFont val="Calibri"/>
        <family val="2"/>
        <scheme val="minor"/>
      </rPr>
      <t xml:space="preserve"> - 2 x RCD 0,03 mA,
- 2 x RCD 0,3 mA,
- 1 x glavni prekidač razdjelnika
- 1 x isklopni element prekidača za daljinski isklop 
- 1 x crveno gljivasto tipkalo za isklop u slučaju nužde
        s ugradnjom na vrata razdjelnika i popratnim 
        Ožićenjem
- 4 x set sabirnica za nulte vodiče (20 vijaka svaki)
- 1 x set sabirnica za PE vodič
- džep za sheme veličine A4 za vrata razdjelnika
- ostali sitni montažni materijal, pribor i vodiči
- označiti elemente prema oznakama u jednopolnoj
  shemi
- nove jednopolne sheme izvedenog stanja
- naljepnice vrste zaštite i oznaka razdjelnika. U cijenu stavke uključiti sav rad, materijal, alate i strojeve potrebne za potpuno dovršenje stavke.
Obračun po kompletu dorađene ploče razdjelnika kata.</t>
    </r>
  </si>
  <si>
    <t>.56</t>
  </si>
  <si>
    <r>
      <t xml:space="preserve">Ugradnja novog prekidača kata.
</t>
    </r>
    <r>
      <rPr>
        <sz val="10"/>
        <color theme="1"/>
        <rFont val="Calibri"/>
        <family val="2"/>
        <scheme val="minor"/>
      </rPr>
      <t>Stavka obuhvaća nabavu, dopremu, ugradnju i ožičenje novog prekidača sa isklopnim elementom za vezu sa budućim sustavom vatrodojave u postojeći razdjelnik kata. U cijenu stavke uključiti sav rad, materijal, alate i strojeve potrebne za potpuno dovršenje stavke.
Obračun po komadu ugrađenih prekidača.</t>
    </r>
  </si>
  <si>
    <t>.55</t>
  </si>
  <si>
    <r>
      <t xml:space="preserve">Ugradnja sklopki rasvjete kata.
</t>
    </r>
    <r>
      <rPr>
        <sz val="10"/>
        <color theme="1"/>
        <rFont val="Calibri"/>
        <family val="2"/>
        <scheme val="minor"/>
      </rPr>
      <t>Stavka obuhvaća nabavu, dopremu i ugradnju sklopki rasvjete - set sa okvirom i električnim povezivanjem istih. U cijenu stavke uključiti sav rad, materijal, alate i strojeve potrebne za potpuno dovršenje stavke.
Obračun po komadu ugrađenih sklopki.</t>
    </r>
  </si>
  <si>
    <t>.54</t>
  </si>
  <si>
    <r>
      <t xml:space="preserve">Ugradnja novih kutija za montažu utičnica.
</t>
    </r>
    <r>
      <rPr>
        <sz val="10"/>
        <color theme="1"/>
        <rFont val="Calibri"/>
        <family val="2"/>
        <scheme val="minor"/>
      </rPr>
      <t>Stavka obuhvaća nabavu, dopremu i ugradnju novih kutija za montažu utičnica i montaža UTP priključaka s električnim povezivanjem istih u prostorijama kata  - set od po 2 priključka. U cijenu stavke uključiti sav rad, materijal, alate i strojeve potrebne za potpuno dovršenje stavke.
Obračun po komadu kutija.</t>
    </r>
  </si>
  <si>
    <t>.53</t>
  </si>
  <si>
    <r>
      <t xml:space="preserve">Ugradnja novih kutija za montažu utičnica.
</t>
    </r>
    <r>
      <rPr>
        <sz val="10"/>
        <color theme="1"/>
        <rFont val="Calibri"/>
        <family val="2"/>
        <scheme val="minor"/>
      </rPr>
      <t>Stavka obuhvaća nabavu, dopremu i ugradnju novih kutija za montažu utičnica i montaža utičnica priključaka 230 V s električnim povezivanjem istih u prostorijama kata  - set od po 4 priključka. U cijenu stavke uključiti sav rad, materijal, alate i strojeve potrebne za potpuno dovršenje stavke.
Obračun po komadu kutija.</t>
    </r>
  </si>
  <si>
    <t>.52</t>
  </si>
  <si>
    <r>
      <t xml:space="preserve">Demontaža sklopki rasvjete kata.
</t>
    </r>
    <r>
      <rPr>
        <sz val="10"/>
        <color theme="1"/>
        <rFont val="Calibri"/>
        <family val="2"/>
        <scheme val="minor"/>
      </rPr>
      <t>Stavka obuhvaća demontažu sklopki rasvjete - set sa okvirom. Okvire i module je potrebno sačuvati za ponovnu montažu nakon radova na objektu. U cijenu stavke uključiti sav rad, materijal, alate i strojeve potrebne za potpuno dovršenje stavke.
Obračun po komadu demontiranih sklopki.</t>
    </r>
  </si>
  <si>
    <t>.51</t>
  </si>
  <si>
    <r>
      <t xml:space="preserve">Demontaža utičnica UTP priključaka prostorija kata.
</t>
    </r>
    <r>
      <rPr>
        <sz val="10"/>
        <color theme="1"/>
        <rFont val="Calibri"/>
        <family val="2"/>
        <scheme val="minor"/>
      </rPr>
      <t>Stavka obuhvaća demontažu utičnica UTP priključaka prostorija kata  - set od po 2 priključka.  Okvire i module je potrebno sačuvati za ponovnu montažu nakon radova na objektu. U cijenu stavke uključiti sav rad, materijal, alate i strojeve potrebne za potpuno dovršenje stavke.
Obračun po komadu demontiranih priključaka.</t>
    </r>
  </si>
  <si>
    <t>.50</t>
  </si>
  <si>
    <r>
      <t xml:space="preserve">Demontaža utičnica priključaka 230 V prostorija kata.
</t>
    </r>
    <r>
      <rPr>
        <sz val="10"/>
        <color theme="1"/>
        <rFont val="Calibri"/>
        <family val="2"/>
        <scheme val="minor"/>
      </rPr>
      <t>Stavka obuhvaća demontažu utičnica priključaka 230 V prostorija kata  - set od po 4 priključka. Okvire i module je potrebno sačuvati za ponovnu montažu nakon radova na objektu. U cijenu stavke uključiti sav rad, materijal, alate i strojeve potrebne za potpuno dovršenje stavke.
Obračun po komadu demontiranih utičnica.</t>
    </r>
  </si>
  <si>
    <t>.49</t>
  </si>
  <si>
    <r>
      <t xml:space="preserve">Izrada jednopolnih shema postojećeg stanja postojećeg razdjelnika kata.
</t>
    </r>
    <r>
      <rPr>
        <sz val="10"/>
        <color theme="1"/>
        <rFont val="Calibri"/>
        <family val="2"/>
        <scheme val="minor"/>
      </rPr>
      <t>Stavka obuhvaća izradu jednopolnih shema postojećeg stanja postojećeg razdjelnika kata za potrebe odvajanja strujnih krugova prilikom sanacije sjevernog dijela objekta. 
Obračun po kompletu.</t>
    </r>
  </si>
  <si>
    <t>.48</t>
  </si>
  <si>
    <t>- 4 x set sabirnica za nulte vodiče (20 vijaka svaki)
- 1 x set sabirnica za PE vodič
- set perforiranih kanalica 60x40 mm s poklopcem
- set tropolnih sabirnica za razvod osigurača
- 4 x set rednih stezaljki označenih u skladu s 
       oznakama na jednopolnoj shemi
- DIN šine za montažu sve naveden opreme
- džep za sheme veličine A4 za vrata razdjelnika
- ostali sitni montažni materijal, pribor i vodiči
- označiti elemente prema oznakama u jednopolnoj
  Shemi
- nove jednopolne sheme izvedenog stanja
- naljepnice vrste zaštite i oznaka razdjelnika,
  te deklaracija razdjelnika. U cijenu stavke uključiti sav rad, materijal, alate i strojeve potrebne za potpuno dovršenje stavke.
Obračun po kompletu montirane ploče razdjelnika prizemlja.</t>
  </si>
  <si>
    <r>
      <t xml:space="preserve">Montaža nove ploče razdjelnika prizemlja.
</t>
    </r>
    <r>
      <rPr>
        <sz val="10"/>
        <color theme="1"/>
        <rFont val="Calibri"/>
        <family val="2"/>
        <scheme val="minor"/>
      </rPr>
      <t>Stavka obuhvaća izradu, dostavu i montažu nove zamjenske montažne ploče razdjelnika PRIZEMLJA s ugrađenim (usklađen s karakteristikama i strujama postojećih osigurača):
- 1 x pocinčana montažna ploča dimenzija
        Prilagođenih postojećem razdjelniku
- 68 x automatski osigurač,
- 2 x RCD 0,03 mA,
- 2 x RCD 0,3 mA,
- 1 x glavni prekidač razdjelnika
- 1 x isklopni element prekidača za daljinski isklop 
        prekidača za budući sustav vatrodojave
- 1 x servisna šuko utočnica za ugradnju na DIN šinu
- 1 x crveno gljivasto tipkalo za isklop u slučaju nužde s ugradnjom na vrata razdjelnika i popratnim ožićenjem</t>
    </r>
  </si>
  <si>
    <t>.47</t>
  </si>
  <si>
    <r>
      <t xml:space="preserve">Izrada novog šlica za polaganje cijevi.
</t>
    </r>
    <r>
      <rPr>
        <sz val="10"/>
        <color theme="1"/>
        <rFont val="Calibri"/>
        <family val="2"/>
        <scheme val="minor"/>
      </rPr>
      <t>Stavka obuhvaća izradu novog šlica duljine oko 8 m za polaganje 4 instalacijske cijevi na mjestima starih kanalica. Ugradnja 4 instalacijske cijevi fi=20 mm. Ugradnja instalacijske kutije s 4 modula i ugradnja modula u kutiju s električnim povezivanjem kabela na odgovarajuće module. U cijenu stavke uključiti sav rad, materijal, alate i strojeve potrebne za potpuno dovršenje stavke.
Obračun po kompletu izvedenih radova.</t>
    </r>
  </si>
  <si>
    <t>.46</t>
  </si>
  <si>
    <r>
      <t xml:space="preserve">Ugradnja sklopki rasvjete prizemlja.
</t>
    </r>
    <r>
      <rPr>
        <sz val="10"/>
        <color theme="1"/>
        <rFont val="Calibri"/>
        <family val="2"/>
        <scheme val="minor"/>
      </rPr>
      <t>Stavka obuhvaća nabavu, dopremu i ugradnju sklopki rasvjete - set sa okvirom i električnim povezivanjem istih. U cijenu stavke uključiti sav rad, materijal, alate i strojeve potrebne za potpuno dovršenje stavke.
Obračun po komadu ugrađenih sklopki.</t>
    </r>
  </si>
  <si>
    <t>.45</t>
  </si>
  <si>
    <r>
      <t xml:space="preserve">Ugradnja novih kutija za montažu utičnica.
</t>
    </r>
    <r>
      <rPr>
        <sz val="10"/>
        <color theme="1"/>
        <rFont val="Calibri"/>
        <family val="2"/>
        <scheme val="minor"/>
      </rPr>
      <t>Stavka obuhvaća nabavu, dopremu i ugradnju novih kutija za montažu utičnica i montaža antenskog priključaka s električnim povezivanjem u učionicu prizemlja. U cijenu stavke uključiti sav rad, materijal, alate i strojeve potrebne za potpuno dovršenje stavke.
Obračun po komadu kutija.</t>
    </r>
  </si>
  <si>
    <t>.44</t>
  </si>
  <si>
    <r>
      <t xml:space="preserve">Ugradnja novih kutija za montažu utičnica.
</t>
    </r>
    <r>
      <rPr>
        <sz val="10"/>
        <color theme="1"/>
        <rFont val="Calibri"/>
        <family val="2"/>
        <scheme val="minor"/>
      </rPr>
      <t>Stavka obuhvaća nabavu, dopremu i ugradnju novih kutija za montažu utičnica i montaža UTP priključaka s električnim povezivanjem istih u učionicu prizemlja  - set od po 2 priključka. U cijenu stavke uključiti sav rad, materijal, alate i strojeve potrebne za potpuno dovršenje stavke.
Obračun po komadu kutija.</t>
    </r>
  </si>
  <si>
    <t>.43</t>
  </si>
  <si>
    <r>
      <t xml:space="preserve">Ugradnja novih kutija za montažu utičnica.
</t>
    </r>
    <r>
      <rPr>
        <sz val="10"/>
        <color theme="1"/>
        <rFont val="Calibri"/>
        <family val="2"/>
        <scheme val="minor"/>
      </rPr>
      <t>Stavka obuhvaća nabavu, dopremu i ugradnju novih kutija za montažu utičnica i montaža utičnica priključaka 230 V s električnim povezivanjem istih u učionicu prizemlja  - set od po 4 priključka. U cijenu stavke uključiti sav rad, materijal, alate i strojeve potrebne za potpuno dovršenje stavke.
Obračun po komadu kutija.</t>
    </r>
  </si>
  <si>
    <t>.42</t>
  </si>
  <si>
    <r>
      <t xml:space="preserve">Demontaža sklopki rasvjete prizemlja.
</t>
    </r>
    <r>
      <rPr>
        <sz val="10"/>
        <color theme="1"/>
        <rFont val="Calibri"/>
        <family val="2"/>
        <scheme val="minor"/>
      </rPr>
      <t>Stavka obuhvaća demontažu sklopki rasvjete - set sa okvirom. Okvire i module je potrebno sačuvati za ponovnu montažu nakon radova na objektu. U cijenu stavke uključiti sav rad, materijal, alate i strojeve potrebne za potpuno dovršenje stavke.
Obračun po komadu demontiranih sklopki.</t>
    </r>
  </si>
  <si>
    <t>.41</t>
  </si>
  <si>
    <r>
      <t xml:space="preserve">Demontaža kabelskih kanalica prizemlja.
</t>
    </r>
    <r>
      <rPr>
        <sz val="10"/>
        <color theme="1"/>
        <rFont val="Calibri"/>
        <family val="2"/>
        <scheme val="minor"/>
      </rPr>
      <t>Stavka obuhvaća demontažu kabelske kanalice sa zida i uklanjanje položenih kabela. Kabeli će se naknadno ugraditi u nove instalacijske cijevi opisane u stavci niže. U cijenu stavke uključiti sav rad, materijal, alate i strojeve potrebne za potpuno dovršenje stavke.
Obračun po m' demontiranih kanalica.</t>
    </r>
  </si>
  <si>
    <t>.40</t>
  </si>
  <si>
    <r>
      <t xml:space="preserve">Demontaža antenskog priključaka učionice prizemlja.
</t>
    </r>
    <r>
      <rPr>
        <sz val="10"/>
        <color theme="1"/>
        <rFont val="Calibri"/>
        <family val="2"/>
        <scheme val="minor"/>
      </rPr>
      <t>Stavka obuhvaća demontažu antenskog priključaka učionice prizemlja. Okvire i module je potrebno sačuvati za ponovnu montažu nakon radova na objektu.. U cijenu stavke uključiti sav rad, materijal, alate i strojeve potrebne za potpuno dovršenje stavke.
Obračun po komadu demontiranih priključaka.</t>
    </r>
  </si>
  <si>
    <t>.39</t>
  </si>
  <si>
    <r>
      <t xml:space="preserve">Demontaža utičnica UTP priključaka učionice prizemlja.
</t>
    </r>
    <r>
      <rPr>
        <sz val="10"/>
        <color theme="1"/>
        <rFont val="Calibri"/>
        <family val="2"/>
        <scheme val="minor"/>
      </rPr>
      <t>Stavka obuhvaća demontažu utičnica UTP priključaka učionice prizemlja  - set od po 2 priključka.  Okvire i module je potrebno sačuvati za ponovnu montažu nakon radova na objektu. U cijenu stavke uključiti sav rad, materijal, alate i strojeve potrebne za potpuno dovršenje stavke.
Obračun po komadu demontiranih priključaka.</t>
    </r>
  </si>
  <si>
    <t>.38</t>
  </si>
  <si>
    <r>
      <t xml:space="preserve">Demontaža utičnica priključaka 230 V učionice prizemlja.
</t>
    </r>
    <r>
      <rPr>
        <sz val="10"/>
        <color theme="1"/>
        <rFont val="Calibri"/>
        <family val="2"/>
        <scheme val="minor"/>
      </rPr>
      <t>Stavka obuhvaća demontažu utičnica priključaka 230 V učionice prizemlja  - set od po 4 priključka. Okvire i module je potrebno sačuvati za ponovnu montažu nakon radova na objektu. U cijenu stavke uključiti sav rad, materijal, alate i strojeve potrebne za potpuno dovršenje stavke.
Obračun po komadu demontiranih utičnica.</t>
    </r>
  </si>
  <si>
    <t>.37</t>
  </si>
  <si>
    <r>
      <t xml:space="preserve">Izrada jednopolnih shema postojećeg stanja postojećeg razdjelnika prizemlja.
</t>
    </r>
    <r>
      <rPr>
        <sz val="10"/>
        <color theme="1"/>
        <rFont val="Calibri"/>
        <family val="2"/>
        <scheme val="minor"/>
      </rPr>
      <t>Stavka obuhvaća izradu jednopolnih shema postojećeg stanja postojećeg razdjelnika prizemlja za potrebe odvajanja strujnih krugova prilikom sanacije sjevernog dijela objekta. 
Obračun po kompletu.</t>
    </r>
  </si>
  <si>
    <t>.36</t>
  </si>
  <si>
    <t>- 4 x set sabirnica za nulte vodiče (20 vijaka svaki)
- 1 x set sabirnica za PE vodič
- set perforiranih kanalica 60x40 mm s poklopcem
- set tropolnih sabirnica za razvod osigurača
- 4 x set rednih stezaljki označenih u skladu s 
       oznakama na jednopolnoj shemi
- DIN šine za montažu sve naveden opreme
- džep za sheme veličine A4 za vrata razdjelnika
- ostali sitni montažni materijal, pribor i vodiči
- označiti elemente prema oznakama u jednopolnoj
  Shemi
- nove jednopolne sheme izvedenog stanja
- naljepnice vrste zaštite i oznaka razdjelnika,
  te deklaracija razdjelnika U cijenu stavke uključiti sav rad, materijal, alate i strojeve potrebne za potpuno dovršenje stavke.
Obračun po kompletu montirane ploče razdjelnika podruma.</t>
  </si>
  <si>
    <r>
      <t xml:space="preserve">Montaža nove ploče razdjelnika podruma.
</t>
    </r>
    <r>
      <rPr>
        <sz val="10"/>
        <color theme="1"/>
        <rFont val="Calibri"/>
        <family val="2"/>
        <scheme val="minor"/>
      </rPr>
      <t xml:space="preserve">Stavka obuhvaća izradu, dostavu i montažu nove zamjenske montažne ploče razdjelnika podruma s ugrađenim (usklađen s karakteristikama i strujama postojećih osigurača):
- 1 x pocinčana montažna ploča dimenzija
        prilagođenih postojećem razdjelniku
- 54 x automatski osigurač,
- 2 x RCD 0,03 mA,
- 2 x RCD 0,3 mA,
- 1 x glavni prekidač razdjelnika
- 1 x isklopni element prekidača za daljinski isklop 
        prekidača za budući sustav vatrodojave
- 1 x transformator karakteristika kakav je u
        postojećem razdjelniku
- 1 x servisna šuko utočnica za ugradnju na DIN šinu
- 1 x sklopnik
- 1 x crveno gljivasto tipkalo za isklop u slučaju     nužde s ugradnjom na vrata razdjelnika i popratnim ožićenjem   </t>
    </r>
  </si>
  <si>
    <t>.35</t>
  </si>
  <si>
    <r>
      <t xml:space="preserve">Ugradnja sklopki rasvjete.
</t>
    </r>
    <r>
      <rPr>
        <sz val="10"/>
        <color theme="1"/>
        <rFont val="Calibri"/>
        <family val="2"/>
        <scheme val="minor"/>
      </rPr>
      <t>Stavka obuhvaća nabavu, dopremu i ugradnju sklopki rasvjete - set sa okvirom i električnim povezivanjem istih. U cijenu stavke uključiti sav rad, materijal, alate i strojeve potrebne za potpuno dovršenje stavke.
Obračun po komadu ugrađenih sklopki.</t>
    </r>
  </si>
  <si>
    <t>.34</t>
  </si>
  <si>
    <t>.33</t>
  </si>
  <si>
    <r>
      <t xml:space="preserve">Ugradnja novih kutija za montažu utičnica.
</t>
    </r>
    <r>
      <rPr>
        <sz val="10"/>
        <color theme="1"/>
        <rFont val="Calibri"/>
        <family val="2"/>
        <scheme val="minor"/>
      </rPr>
      <t>Stavka obuhvaća nabavu, dopremu i ugradnju novih kutija za montažu utičnica i montaža antenskog priključaka s električnim povezivanjem u učionicu podruma. U cijenu stavke uključiti sav rad, materijal, alate i strojeve potrebne za potpuno dovršenje stavke.
Obračun po komadu kutija.</t>
    </r>
  </si>
  <si>
    <t>.32</t>
  </si>
  <si>
    <r>
      <t xml:space="preserve">Ugradnja novih kutija za montažu utičnica.
</t>
    </r>
    <r>
      <rPr>
        <sz val="10"/>
        <color theme="1"/>
        <rFont val="Calibri"/>
        <family val="2"/>
        <scheme val="minor"/>
      </rPr>
      <t>Stavka obuhvaća nabavu, dopremu i ugradnju novih kutija za montažu utičnica i montaža UTP priključaka s električnim povezivanjem istih u učionicu podruma  - set od po 2 priključka. U cijenu stavke uključiti sav rad, materijal, alate i strojeve potrebne za potpuno dovršenje stavke.
Obračun po komadu kutija.</t>
    </r>
  </si>
  <si>
    <t>.31</t>
  </si>
  <si>
    <r>
      <t xml:space="preserve">Ugradnja novih kutija za montažu utičnica.
</t>
    </r>
    <r>
      <rPr>
        <sz val="10"/>
        <color theme="1"/>
        <rFont val="Calibri"/>
        <family val="2"/>
        <scheme val="minor"/>
      </rPr>
      <t>Stavka obuhvaća nabavu, dopremu i ugradnju novih kutija za montažu utičnica i montaža utičnica priključaka 230 V s električnim povezivanjem istih u učionicu podruma  - set od po 4 priključka. U cijenu stavke uključiti sav rad, materijal, alate i strojeve potrebne za potpuno dovršenje stavke.
Obračun po komadu kutija.</t>
    </r>
  </si>
  <si>
    <t>.30</t>
  </si>
  <si>
    <r>
      <t xml:space="preserve">Demontaža sklopki rasvjete podruma.
</t>
    </r>
    <r>
      <rPr>
        <sz val="10"/>
        <color theme="1"/>
        <rFont val="Calibri"/>
        <family val="2"/>
        <scheme val="minor"/>
      </rPr>
      <t>Stavka obuhvaća demontažu sklopki rasvjete - set sa okvirom. Okvire i module je potrebno sačuvati za ponovnu montažu nakon radova na objektu. U cijenu stavke uključiti sav rad, materijal, alate i strojeve potrebne za potpuno dovršenje stavke.
Obračun po komadu demontiranih sklopki.</t>
    </r>
  </si>
  <si>
    <t>.29</t>
  </si>
  <si>
    <r>
      <t xml:space="preserve">Demontaža kabelskih kanalica podruma.
</t>
    </r>
    <r>
      <rPr>
        <sz val="10"/>
        <color theme="1"/>
        <rFont val="Calibri"/>
        <family val="2"/>
        <scheme val="minor"/>
      </rPr>
      <t>Stavka obuhvaća demontažu kabelske kanalice sa zida i uklanjanje položenih kabela. Kabeli će se naknadno ugraditi u nove instalacijske cijevi opisane u stavci niže. U cijenu stavke uključiti sav rad, materijal, alate i strojeve potrebne za potpuno dovršenje stavke.
Obračun po m' demontiranih kanalica.</t>
    </r>
  </si>
  <si>
    <t>.28</t>
  </si>
  <si>
    <r>
      <t xml:space="preserve">Demontaža antenskog priključaka učionice podruma.
</t>
    </r>
    <r>
      <rPr>
        <sz val="10"/>
        <color theme="1"/>
        <rFont val="Calibri"/>
        <family val="2"/>
        <scheme val="minor"/>
      </rPr>
      <t>Stavka obuhvaća demontažu antenskog priključaka učionice podruma. Okvire i module je potrebno sačuvati za ponovnu montažu nakon radova na objektu.. U cijenu stavke uključiti sav rad, materijal, alate i strojeve potrebne za potpuno dovršenje stavke.
Obračun po komadu demontiranih priključaka.</t>
    </r>
  </si>
  <si>
    <t>.27</t>
  </si>
  <si>
    <r>
      <t xml:space="preserve">Demontaža utičnica UTP priključaka učionice podruma.
</t>
    </r>
    <r>
      <rPr>
        <sz val="10"/>
        <color theme="1"/>
        <rFont val="Calibri"/>
        <family val="2"/>
        <scheme val="minor"/>
      </rPr>
      <t>Stavka obuhvaća demontažu utičnica UTP priključaka učionice podruma  - set od po 2 priključka.  Okvire i module je potrebno sačuvati za ponovnu montažu nakon radova na objektu. U cijenu stavke uključiti sav rad, materijal, alate i strojeve potrebne za potpuno dovršenje stavke.
Obračun po komadu demontiranih priključaka.</t>
    </r>
  </si>
  <si>
    <r>
      <t xml:space="preserve">Demontaža utičnica priključaka 230 V učionice podruma.
</t>
    </r>
    <r>
      <rPr>
        <sz val="10"/>
        <color theme="1"/>
        <rFont val="Calibri"/>
        <family val="2"/>
        <scheme val="minor"/>
      </rPr>
      <t>Stavka obuhvaća demontažu utičnica priključaka 230 V učionice podruma  - set od po 4 priključka. Okvire i module je potrebno sačuvati za ponovnu montažu nakon radova na objektu. U cijenu stavke uključiti sav rad, materijal, alate i strojeve potrebne za potpuno dovršenje stavke.
Obračun po komadu demontiranih utičnica.</t>
    </r>
  </si>
  <si>
    <r>
      <t xml:space="preserve">Izrada jednopolnih shema postojećeg stanja postojećeg razdjelnika podruma.
</t>
    </r>
    <r>
      <rPr>
        <sz val="10"/>
        <color theme="1"/>
        <rFont val="Calibri"/>
        <family val="2"/>
        <scheme val="minor"/>
      </rPr>
      <t>Stavka obuhvaća izradu jednopolnih shema postojećeg stanja postojećeg razdjelnika podruma za potrebe odvajanja strujnih krugova prilikom sanacije sjevernog dijela objekta. 
Obračun po kompletu.</t>
    </r>
  </si>
  <si>
    <t>.57</t>
  </si>
  <si>
    <t>.58</t>
  </si>
  <si>
    <r>
      <t xml:space="preserve">Dobava akumulatora.
</t>
    </r>
    <r>
      <rPr>
        <sz val="10"/>
        <color theme="1"/>
        <rFont val="Calibri"/>
        <family val="2"/>
        <scheme val="minor"/>
      </rPr>
      <t>Stavka obuhvaća dobavu akumulatora 12V, 18Ah
- maksimalna struja punjenja ne veća od 5,4 A
- zatvoreni tip. U cijenu stavke uključiti sav rad, materijal, alate i strojeve potrebne za potpuno dovršenje stavke.
Obračun po komadu akumulatora.</t>
    </r>
  </si>
  <si>
    <r>
      <t xml:space="preserve">Montaža ugradne kartice centrale dojave požara.
</t>
    </r>
    <r>
      <rPr>
        <sz val="10"/>
        <color theme="1"/>
        <rFont val="Calibri"/>
        <family val="2"/>
        <scheme val="minor"/>
      </rPr>
      <t>Stavka obuhvaća dobavu, dopremu i montažu ugradne kartice centrale dojave požara za telefonsku 
dojavu
- obavezno integralni dio centrale za dojavu požara
- obavezno mogućnost da se kroz jedan dojavni modul 
dojavljuju alarmi svih centrala u prstenu
- obavezno Contact ID protokol
- obavezno dojava alarma ili kvara s točnom adresom 
svakog uređaja na petlji (grupni alarmi nisu prihvatljivi)
PROIZVOĐAČ: Inim
TIP KAO: SmartLoop/PSTN (ili jednakovrijedan proizvod). U cijenu stavke uključiti sav rad, materijal, alate i strojeve potrebne za potpuno dovršenje stavke.
Obračun po komadu montiranih kartica.</t>
    </r>
  </si>
  <si>
    <r>
      <t xml:space="preserve">Montaža analogno-adresabilnog optičkog detektora s izolatorom.
</t>
    </r>
    <r>
      <rPr>
        <sz val="10"/>
        <color theme="1"/>
        <rFont val="Calibri"/>
        <family val="2"/>
        <scheme val="minor"/>
      </rPr>
      <t xml:space="preserve">Stavka obuhvaća dobavu, dopremu i montažu ugradne kartice analogno-adresabilnog optičkog detektora s izolatorom, Inim protokol
- obavezno automatsko adresiranje s centrale
- obavezno mogućnost ručnog adresiranja s centrale
- obavezno podesiva osjetljivost s centrale, posebno za dnevni, posebno za noćni režim
- za rad sa novim Inim protokolom, ugraden izolator 
kratkog spoja
- napredni dizajn opticke komore, zaštita od smetnji, 
dvostruka zaštita od prašine i insekata , zaštitna mrežica sa ultra-malim otvorima (500µm)
- trobojna LED vidljiva 360°
- mogucnost izbora osjetljivosti detektora i moda rada daljinski putem centrale.  </t>
    </r>
  </si>
  <si>
    <t>Tehničke značajke:
• niskoprofilni analogno adresabilni optički vatrodojavni detektor
• centrali šalje analognu informaciju o razini produkata gorenja
• kompenzacija ''drifta'' uzrokovana prašinom u komori detektora
• dvobojna LED, crvena boja alarm, zelena-sporo 
bljeskanje standby, brzo bljeskanje greška ili visok nivo zaprljanja
• potpuna dijagnostika stanja detektora: nivo zaprljanja optičke komore detektora i provjera ostalih vrijednosti u realnom vremenu
• zaštita od smetnji, dvostruka zaštita od prašine i 
insekata
• memorija nivoa dima u optickoj komori u periodu od 5min prije zadnjeg detektiranog alarma
• certificiran po EN54 normi
• za ugradnju potrebno podnožje 
• dimenzije: promjer 110 mm x 46 mm
• radna temperatura od -5 do 40 °C, vlažnost do 95%
PROIZVOĐAČ: Inim
TIP KAO: S-ED100 (ili jednakovrijedan proizvod). U cijenu stavke uključiti sav rad, materijal, alate i strojeve potrebne za potpuno dovršenje stavke.
Obračun po komadu montiranih detektora.</t>
  </si>
  <si>
    <r>
      <t xml:space="preserve">Montaža paralelnog indikatora.
</t>
    </r>
    <r>
      <rPr>
        <sz val="10"/>
        <color theme="1"/>
        <rFont val="Calibri"/>
        <family val="2"/>
        <scheme val="minor"/>
      </rPr>
      <t>Stavka obuhvaća dobavu, dopremu i montažu paralelnog indikatora aktiviranja vatrodojavnog detektora
PROIZVOĐAČ: Inim
TIP KAO: S-IL0010 (ili jednakovrijedan proizovd). U cijenu stavke uključiti sav rad, materijal, alate i strojeve potrebne za potpuno dovršenje stavke.
Obračun po komadu montiranih akumulatora.</t>
    </r>
  </si>
  <si>
    <t>Tehničke karakteristike:
• niskoprofilni analogno adresabilni termički vatrodojavni detektor
• centrali šalje analognu informaciju o razini temperature
• dvobojna LED, crvena boja alarm, zelena-sporo 
bljeskanje standby, brzo
• bljeskanje greška ili visok nivo zaprljanja
• potpuna dijagnostika stanja detektora:provjera ostalih vrijednosti u realnomvremenu
• zaštita od smetnji, dvostruka zaštita od prašine i 
insekata PROIZVOĐAČ: Inim
TIP KAO: S-ED300 (ili jednakovrijedan proizvod). U cijenu stavke uključiti sav rad, materijal, alate i strojeve potrebne za potpuno dovršenje stavke.
Obračun po komadu demontiranih armatura. Obračun po komadu montiranih detektora.</t>
  </si>
  <si>
    <r>
      <t xml:space="preserve">Montaža podnožja za detektore.
</t>
    </r>
    <r>
      <rPr>
        <sz val="10"/>
        <color theme="1"/>
        <rFont val="Calibri"/>
        <family val="2"/>
        <scheme val="minor"/>
      </rPr>
      <t>Stavka obuhvaća dobavu, dopremu i montažu podnožja za Inim konvencionalne detektore Iris serije i adresabilne detektore Enea serije
- opremljeno sa kontaktom(mostom) koji osigurava 
neprekinutost linije prilikom skidanja detektora
PROIZVOĐAČ: Inim
TIP KAO: S-EB0010 (ili jednakovrijedan proizvod). Cijena stavke uključuje spajanje podnožja vatrodojavnog detektora na liniju. U cijenu stavke uključiti sav rad, materijal, alate i strojeve potrebne za potpuno dovršenje stavke.
Obračun po komadu montiranih podnožja.</t>
    </r>
  </si>
  <si>
    <r>
      <t xml:space="preserve">Montaža odstojnika.
</t>
    </r>
    <r>
      <rPr>
        <sz val="10"/>
        <color theme="1"/>
        <rFont val="Calibri"/>
        <family val="2"/>
        <scheme val="minor"/>
      </rPr>
      <t>Stavka obuhvaća dobavu, dopremu i montažu odstojnika za nadžbuknu montažu
- za Inim ED i ID tip detektora, za montažu ispod 
EB0010 i EB0020 tipa podnožja
PROIZVOĐAČ: INIM
TIP KAO: S-EB0030 (ili jednakovrijedan proizvod).       U cijenu stavke uključiti sav rad, materijal, alate i strojeve potrebne za potpuno dovršenje stavke.
Obračun po komadu montiranih odstojnika.</t>
    </r>
  </si>
  <si>
    <r>
      <t xml:space="preserve">Montaža sirene.
</t>
    </r>
    <r>
      <rPr>
        <sz val="10"/>
        <color theme="1"/>
        <rFont val="Calibri"/>
        <family val="2"/>
        <scheme val="minor"/>
      </rPr>
      <t>Stavka obuhvaća dobavu, dopremu, montažu i spajanje sirene s bljeskalicom ES2050RE
Analogno adresabilna vatrodojavna sirena s 
bljeskalicom
- crvene boje, Inim protokol
- izbor 14 različitih tonova – odabir preko programatora 
ili iz centrale
- bljeskalica prema EN54-23 standardu
- IP65 zaštita, pogodna za vanjsku montažu
- glasnoća do 101dB@1m
- napajanje iz petlje ili iz vanjskog izvora
- napajanje 18-30 Vdc, potrošnja u alarmu 10-40mA 
(ovisno o odabranom tonu)
- radna temperatura -20°C do + 70° 
PROIZVOĐAČ: Inim
TIP KAO: S-ES2050RE (ili jednakovrijedan proizvod).       U cijenu stavke uključiti sav rad, materijal, alate i strojeve potrebne za potpuno dovršenje stavke.
Obračun po komadu montiranih sirena.</t>
    </r>
  </si>
  <si>
    <r>
      <t xml:space="preserve">Montaža adresabilnog ručnog javljača požara.
</t>
    </r>
    <r>
      <rPr>
        <sz val="10"/>
        <color theme="1"/>
        <rFont val="Calibri"/>
        <family val="2"/>
        <scheme val="minor"/>
      </rPr>
      <t>Stavka obuhvaća dobavu, dopremu, montažu i spajanje adresabilnog ručnog javljača požara s izolatorom, bez 
razbijanja stakla, crvene boje, reset ključem
- mehanička vizualna inidkacija aktivacije
- s mogućnošću reseta pomoću ključa
- po naredbi iz adresabilne centrale šalje informaciju o stanju javljača
- višekratna upotreba, nije potrebno razbijati i mijenjati staklo
- radi na Inim protokolu
- ugrađen autoizolator
PROIZVOĐAČ: Inim
TIP KAO: S-EC0020 (ili jednakovrijedan proizvod).       U cijenu stavke uključiti sav rad, materijal, alate i strojeve potrebne za potpuno dovršenje stavke.
Obračun po komadu montiranih javljača požara.</t>
    </r>
  </si>
  <si>
    <r>
      <t xml:space="preserve">Montaža vatrodojavnog adresabilnog ručnog javljača.
</t>
    </r>
    <r>
      <rPr>
        <sz val="10"/>
        <color theme="1"/>
        <rFont val="Calibri"/>
        <family val="2"/>
        <scheme val="minor"/>
      </rPr>
      <t>Stavka obuhvaća dobavu, dopremu i montažu vatrodojavnog adresabilnog ručnog javljača za vanjsku ugradnju IP67, ugrađen izolator, crvene boje, resetabilni element, Inim protokol. Uvodnice ne dolaze sa uređajem.                                            PROIZVOĐAČ: Inim
TIP KAO: S-EC0010E (ili jednakovrijedan proizvod).       U cijenu stavke uključiti sav rad, materijal, alate i strojeve potrebne za potpuno dovršenje stavke.
Obračun po komadu montiranih javljača požara.</t>
    </r>
  </si>
  <si>
    <r>
      <t xml:space="preserve">Montaža ulazno izlaznog modula.
</t>
    </r>
    <r>
      <rPr>
        <sz val="10"/>
        <color theme="1"/>
        <rFont val="Calibri"/>
        <family val="2"/>
        <scheme val="minor"/>
      </rPr>
      <t>Stavka obuhvaća dobavu, dopremu, montažu i spajanje ulazno izlaznog modula
- 4 nadzirana ulaza
- 4 relejna izlaza
PROIZVOĐAČ: Inim
TIP KAO: S-EM344R (ili jednakovrijedan proizvod).       U cijenu stavke uključiti sav rad, materijal, alate i strojeve potrebne za potpuno dovršenje stavke.
Obračun po komadu montiranih modula.</t>
    </r>
  </si>
  <si>
    <r>
      <t xml:space="preserve">Knjiga održavanja sustava.
</t>
    </r>
    <r>
      <rPr>
        <sz val="10"/>
        <color theme="1"/>
        <rFont val="Calibri"/>
        <family val="2"/>
        <scheme val="minor"/>
      </rPr>
      <t>Stavka obuhvaća dobavu knjige održavanja sustava za dojavu požara
PROIZVOĐAČ: Alarm automatika
TIP KAO: KO 2-DP (ili jednakovrijedan proizvod).         U cijenu stavke uključiti sav rad, materijal, alate i strojeve potrebne za potpuno dovršenje stavke.
Obračun po komadu knjige.</t>
    </r>
  </si>
  <si>
    <r>
      <t xml:space="preserve">Montaža vatrootpornog ormara.
</t>
    </r>
    <r>
      <rPr>
        <sz val="10"/>
        <color theme="1"/>
        <rFont val="Calibri"/>
        <family val="2"/>
        <scheme val="minor"/>
      </rPr>
      <t>Stavka obuhvaća dobavu, dopremu i montažu vatrootpornog ormara 70x70x25 cm, PP vrata čelična 
ostakljena T-60
Tehničke karakteristike:
• vatrootpornost T60
• vanjske dim. 800x800x250mm (vxšxd)
• sa vatrootpornim staklom (T60) na vratima dim . 
350x350mm
• sa mehaničkom bravom i 3 ključa
• ugrađena protupožarna brava (DIN18250)
• standardna boja: RAL 9010-bijela
• predviđena montaža na zid
TIP KAO: VOC-T60 (ili jednakovrijedan proizvod).        U cijenu stavke uključiti sav rad, materijal, alate i strojeve potrebne za potpuno dovršenje stavke.
Obračun po komadu montiranih ormara.</t>
    </r>
  </si>
  <si>
    <r>
      <t xml:space="preserve">Montaža adresabilne vatrodojavne centrale.
</t>
    </r>
    <r>
      <rPr>
        <sz val="10"/>
        <color theme="1"/>
        <rFont val="Calibri"/>
        <family val="2"/>
        <scheme val="minor"/>
      </rPr>
      <t>Stavka obuhvaća montažu adresabilne vatrodojavne centrale na zid s vijcima i tiplama s uvlačenjem kabela;Montaža i spajanje akumulatora za vatrodojavnu centralu; Spajanje adresabilne vatrodojavne centrale; Skidanje izolacije s kabela i izvođenje ožičenja unutar vatrodojavne centrale. U cijenu stavke uključiti sav rad, materijal, alate i strojeve potrebne za potpuno dovršenje stavke.
Obračun po komadu montiranih ormara.</t>
    </r>
  </si>
  <si>
    <r>
      <t xml:space="preserve">Montaža javljača požara na podnožje i adresiranje 
detektora.
</t>
    </r>
    <r>
      <rPr>
        <sz val="10"/>
        <color theme="1"/>
        <rFont val="Calibri"/>
        <family val="2"/>
        <scheme val="minor"/>
      </rPr>
      <t>Stavka obuhvaća montažu javljača požara na podnožje i adresiranje detektora. U cijenu stavke uključiti sav rad, materijal, alate i strojeve potrebne za potpuno dovršenje stavke.
Obračun po komadu montiranih javljača požara.</t>
    </r>
  </si>
  <si>
    <r>
      <t xml:space="preserve">Programiranje telefonske dojave centrale za dojavu 
požara.
</t>
    </r>
    <r>
      <rPr>
        <sz val="10"/>
        <color theme="1"/>
        <rFont val="Calibri"/>
        <family val="2"/>
        <scheme val="minor"/>
      </rPr>
      <t>Stavka obuhvaća programiranje telefonske dojave centrale za dojavu požara
- programiranje telefonske dojave i spajanje na dojavni centar po izboru investitora sa zoningom. U cijenu stavke uključiti sav rad, materijal, alate i strojeve potrebne za potpuno dovršenje stavke.
Obračun po komadu telefonske dojave centrale.</t>
    </r>
  </si>
  <si>
    <r>
      <t xml:space="preserve">Programiranje adresabilne vatrodojavne centrale.
</t>
    </r>
    <r>
      <rPr>
        <sz val="10"/>
        <color theme="1"/>
        <rFont val="Calibri"/>
        <family val="2"/>
        <scheme val="minor"/>
      </rPr>
      <t>Stavka obuhvaća programiranje adresabilne vatrodojavne centrale po jednom detektoru, javljaču, sireni ili modulu. U cijenu stavke uključiti sav rad, materijal, alate i strojeve potrebne za potpuno dovršenje stavke.
Obračun po komadu vatrodojavne centrale.</t>
    </r>
  </si>
  <si>
    <r>
      <t xml:space="preserve">Dobavu potrebnih oznaka.
</t>
    </r>
    <r>
      <rPr>
        <sz val="10"/>
        <color theme="1"/>
        <rFont val="Calibri"/>
        <family val="2"/>
        <scheme val="minor"/>
      </rPr>
      <t>Stavka obuhvaća dobavu potrebnih oznaka i označavanje svih elemenata 
vatrodojavnog sustava prema blok shemi. U cijenu stavke uključiti sav rad, materijal, alate i strojeve potrebne za potpuno dovršenje stavke.
Obračun po komadu potrebnih oznaka.</t>
    </r>
  </si>
  <si>
    <r>
      <t xml:space="preserve">Izrada protupožarnog brtvljenja.
</t>
    </r>
    <r>
      <rPr>
        <sz val="10"/>
        <color theme="1"/>
        <rFont val="Calibri"/>
        <family val="2"/>
        <scheme val="minor"/>
      </rPr>
      <t>Stavka obuhvaća izradu protupožarnog brtvljenja
- na probojima između požarnih sektora sa atestiranim negorivim materijalima odgovarajuće klase vatrootpornosti i označavanje mjesta protupožarnog brtvljenja. U cijenu stavke uključiti sav rad, materijal, alate i strojeve potrebne za potpuno dovršenje stavke.
Obračun po kompletu izvedenih radova.</t>
    </r>
  </si>
  <si>
    <r>
      <t xml:space="preserve">Izrada projekta izvedenog stanja.
</t>
    </r>
    <r>
      <rPr>
        <sz val="10"/>
        <color theme="1"/>
        <rFont val="Calibri"/>
        <family val="2"/>
        <scheme val="minor"/>
      </rPr>
      <t>Stavka obuhvaća izradu projekta izvedenog stanja sustava za dojavu požara
- u 3 tiskana primjerka te jednom primjeku u digitalnom obliku
Obračun po komadu projekta.</t>
    </r>
  </si>
  <si>
    <r>
      <t xml:space="preserve">Ispitivanje sustava.
</t>
    </r>
    <r>
      <rPr>
        <sz val="10"/>
        <color theme="1"/>
        <rFont val="Calibri"/>
        <family val="2"/>
        <scheme val="minor"/>
      </rPr>
      <t>Stavka obuhvaća prvo ispitivanje sustava od strane ovlaštene tvrtke
- cijena izražena po pojedinoj ispitnoj točki
- uključuje izdavanje uvjerenja. U cijenu stavke uključiti sav rad, materijal, alate i strojeve potrebne za potpuno dovršenje stavke.
Obračun po komadu izvedenih radova.</t>
    </r>
  </si>
  <si>
    <r>
      <t xml:space="preserve">Obuka korisnika.
</t>
    </r>
    <r>
      <rPr>
        <sz val="10"/>
        <color theme="1"/>
        <rFont val="Calibri"/>
        <family val="2"/>
        <scheme val="minor"/>
      </rPr>
      <t>Stavka obuhvaća obuku korisnika za rukovanje sustavom dojave požara
- uključivo tiskane upute za rukovanje na hrvatskom 
jeziku (2 primjerka). U cijenu stavke uključiti sav rad, materijal, alate i strojeve potrebne za potpuno dovršenje stavke.
Obračun po komadu izvedenih radova.</t>
    </r>
  </si>
  <si>
    <r>
      <t xml:space="preserve">Postavljanje instalacijskog kabela.
</t>
    </r>
    <r>
      <rPr>
        <sz val="10"/>
        <color theme="1"/>
        <rFont val="Calibri"/>
        <family val="2"/>
        <scheme val="minor"/>
      </rPr>
      <t>Stavka obuhvaća postavljanje instalacijskog kabela NHXH E90 3x2,5mm2 za napajanje 
VDC. U cijenu stavke uključiti sav rad, materijal, alate i strojeve potrebne za potpuno dovršenje stavke.
Obračun po m1 potrebnog kabela.</t>
    </r>
  </si>
  <si>
    <r>
      <t xml:space="preserve">Postavljanje vatrodojavnog kabela.
</t>
    </r>
    <r>
      <rPr>
        <sz val="10"/>
        <color theme="1"/>
        <rFont val="Calibri"/>
        <family val="2"/>
        <scheme val="minor"/>
      </rPr>
      <t>Stavka obuhvaća dobavu i postavljanje vatrodojavnog kabela, krutih vodiča 2x1,0 mm2, oznake JB-H(St)-H 1x2x1,0
- crvene boje
- samogasiva PVC izolacija
- bezhalogeni, malodimni. U cijenu stavke uključiti sav rad, materijal, alate i strojeve potrebne za potpuno dovršenje stavke.
Obračun po m1 potrebnog kabela.</t>
    </r>
  </si>
  <si>
    <r>
      <t xml:space="preserve">Montaža CS plastične savitljive cijevi.
</t>
    </r>
    <r>
      <rPr>
        <sz val="10"/>
        <color theme="1"/>
        <rFont val="Calibri"/>
        <family val="2"/>
        <scheme val="minor"/>
      </rPr>
      <t>Stavka obuhvaća dobavu i postavljanje CS plastične savitljive cijevi Ø 13 mm. U cijenu stavke uključiti sav rad, materijal, alate i strojeve potrebne za potpuno dovršenje stavke.
Obračun po m1 potrebne cijevi.</t>
    </r>
  </si>
  <si>
    <r>
      <t xml:space="preserve">Montaža PNT plastične tvrde cijevi.
</t>
    </r>
    <r>
      <rPr>
        <sz val="10"/>
        <color theme="1"/>
        <rFont val="Calibri"/>
        <family val="2"/>
        <scheme val="minor"/>
      </rPr>
      <t>Stavka obuhvaća dobavu i postavljanje PNT plastične tvrde cijevi Ø 13 mm
- uključujući potrebni instalacijski spojni i montažni pribor i materijal (razvodne kutije, uvodnice, gips, tiple, vijci, spojnice, koljena, nosači). U cijenu stavke uključiti sav rad, materijal, alate i strojeve potrebne za potpuno dovršenje stavke.
Obračun po m1 potrebne cijevi.</t>
    </r>
  </si>
  <si>
    <r>
      <t xml:space="preserve">Bušenje proboja.
</t>
    </r>
    <r>
      <rPr>
        <sz val="10"/>
        <color theme="1"/>
        <rFont val="Calibri"/>
        <family val="2"/>
        <scheme val="minor"/>
      </rPr>
      <t>Stavka obuhvaća bušenje proboja Ø 24 mm kroz armiranobetonske zidove debljine do 300 mm. U cijenu stavke uključiti sav rad, materijal, alate i strojeve potrebne za potpuno dovršenje stavke.
Obračun po komadu bušotina.</t>
    </r>
  </si>
  <si>
    <r>
      <t xml:space="preserve">Priključak vatrodojavne centrale.
</t>
    </r>
    <r>
      <rPr>
        <sz val="10"/>
        <color theme="1"/>
        <rFont val="Calibri"/>
        <family val="2"/>
        <scheme val="minor"/>
      </rPr>
      <t>Stavka obuhvaća priključak vatrodojavne centrale na napajanje; osigurač 10 A, montaža i spajanje osigurača u razvodnom ormaru, spajanje priključka na ormar. U cijenu stavke uključiti sav rad, materijal, alate i strojeve potrebne za potpuno dovršenje stavke.
Obračun po komadu priključka.</t>
    </r>
  </si>
  <si>
    <t>.59</t>
  </si>
  <si>
    <t>.60</t>
  </si>
  <si>
    <t>.61</t>
  </si>
  <si>
    <t>.63</t>
  </si>
  <si>
    <t>.64</t>
  </si>
  <si>
    <t>petlje (proširiva do 8 petlji) 
• maksimalno 240 uređaja po petlji; 240 programskih 
zona
• programibilni izlazi za sirenu
• programiranje CBE (Control By Event) jednadžbi za 
aktiviranje izlaza podešavanje osjetljivosti ručno i 
automatski (mod dan / noć)
• nadzor sustava, automatski test detektora, 
automatsko prepoznavanje vrste detektora
• programiranje pomoću ugrađene tipkovnice i LCD 
displeja ili putem upload / download programa
• mogućnost spajanja centrala u HorNet mrežu 
(maksimalno 30 centrala)
• RS232 konektor za Up/Download
• RS485 izlaz za do 8 izdvojenih signalnih i 
upravljačkih panela
• moguće spajanje plinodojave 
• printer: opcija
• certificirano po EN54 normi
• napajanje 230 Vac
• dimenzije: 480 mm x 470 mm x 135 mm hrvatskom 
jeziku
PROIZVOĐAČ: Inim
TIP KAO: SmartLoop 2080/G( ili jednakovrijedan 
proizvod). U cijenu stavke uključiti sav rad, materijal, alate i strojeve potrebne za potpuno dovršenje stavke.
Obračun po komadu centrala za dojavu požara.</t>
  </si>
  <si>
    <r>
      <t xml:space="preserve">Dobava centrale za dojavu požara.
</t>
    </r>
    <r>
      <rPr>
        <sz val="10"/>
        <color theme="1"/>
        <rFont val="Calibri"/>
        <family val="2"/>
        <scheme val="minor"/>
      </rPr>
      <t xml:space="preserve">Stavka obuhvaća dobavu centrale  za dojavu požara s šest (6) petlji
- osam petlji s po do ne manje od 128 javljača
- obavezno podešavanje osjetljivosti svih javljača sa 
centrale u ne manje od dva automatska režima (dnevni i 
noćni)
- obavezno funkcija automatskog testa detektora
- obavezno mogućnost umrežavanja s drugim 
centralama u prstenastu mrežu s tolerancijom na kvar
- obavezno mogućnost ugradnje integralnog telefonskog 
dojavnika
- obavezno mogućnost spajanja na Ethernet lokalnu 
računalnu mrežu
Tehničke karakteristike:
• analogno adresabilna centrala s dvije adresabilne </t>
    </r>
  </si>
  <si>
    <r>
      <t xml:space="preserve">Montaža analogno-adresabilnog optičkog detektora s izolatorom.
</t>
    </r>
    <r>
      <rPr>
        <sz val="10"/>
        <color theme="1"/>
        <rFont val="Calibri"/>
        <family val="2"/>
        <scheme val="minor"/>
      </rPr>
      <t>Stavka obuhvaća dobavu, dopremu i montažu ugradne kartice analogno-adresabilnog optičkog detektora s izolatorom
- obavezno automatsko adresiranje s centrale
- obavezno mogućnost ručnog adresiranja s centrale
- obavezno podesiva osjetljivost s centrale, posebno za dnevni, posebno za noćni režim
- za rad sa novim Inim protokolom grananja, ugraden 
izolator kratkog spoja
- novi dizajn opticke komore, zaštita od smetnji, 
dvostruka zaštita od prašine i insekata , zaštitna mrežica sa ultra-malim otvorima (500µm)
- trobojna LED vidljiva 360°
- mogucnost izbora osjetljivosti detektora i moda rada</t>
    </r>
  </si>
  <si>
    <r>
      <t xml:space="preserve">Demontaža antipaničnih armatura.
</t>
    </r>
    <r>
      <rPr>
        <sz val="10"/>
        <rFont val="Calibri"/>
        <family val="2"/>
        <scheme val="minor"/>
      </rPr>
      <t>Stavka obuhvaća demontažu i odlaganje postojećih antipaničnih armatura. U cijenu stavke uključiti sav rad, materijal, alate i strojeve potrebne za potpuno dovršenje stavke.
Obračun po komadu demontiranih armatura.</t>
    </r>
  </si>
  <si>
    <r>
      <t xml:space="preserve">Montaža antipaničnih armatura.
</t>
    </r>
    <r>
      <rPr>
        <sz val="10"/>
        <rFont val="Calibri"/>
        <family val="2"/>
        <scheme val="minor"/>
      </rPr>
      <t>Stavka obuhvaća dobavu, dopremu i montažu antipanične armature, za nužnu rasvjetu s vlastitim accu napajanjem i LED 3W, autonomije 3 sata, oznakom “izlaz”  ili "→" prema postojećim oznakama. U cijenu stavke uključiti sav rad, materijal, alate i strojeve potrebne za potpuno dovršenje stavke.
Obračun po komadu montiranih armatura.</t>
    </r>
  </si>
  <si>
    <r>
      <t xml:space="preserve">Montaža tipkala za isklop.
</t>
    </r>
    <r>
      <rPr>
        <sz val="10"/>
        <rFont val="Calibri"/>
        <family val="2"/>
        <scheme val="minor"/>
      </rPr>
      <t>Stavka obuhvaća dobavu, dopremu i ugradnju tipkala za isklop u slučaju nužde J-Pr10 u IP55 zaštiti s mirnim i radnim kontaktom, s pripadnim električkim povezivanjem na razdjelnik odnosno u sustav jedinstvenog isklopa svih razdjelnika. U cijenu stavke uključiti sav rad, materijal, alate i strojeve potrebne za potpuno dovršenje stavke.
Obračun po komadu montiranih armatura.</t>
    </r>
  </si>
  <si>
    <r>
      <t xml:space="preserve">Polaganje kabela povezivanjem na razdjelnike.
</t>
    </r>
    <r>
      <rPr>
        <sz val="10"/>
        <rFont val="Calibri"/>
        <family val="2"/>
        <scheme val="minor"/>
      </rPr>
      <t>Stavka obuhvaća dobavu, dopremu i polaganje kabela NYY-J 3x0,73 mm</t>
    </r>
    <r>
      <rPr>
        <vertAlign val="superscript"/>
        <sz val="10"/>
        <rFont val="Calibri"/>
        <family val="2"/>
        <scheme val="minor"/>
      </rPr>
      <t>2</t>
    </r>
    <r>
      <rPr>
        <sz val="10"/>
        <rFont val="Calibri"/>
        <family val="2"/>
        <scheme val="minor"/>
      </rPr>
      <t xml:space="preserve"> povezivanjem na razdjelnike etaža za potrebe ostvarivanja jedinstvenog isklopa svih razdjelnika. kabel se polaže u kanalice i kroz otvore u betonskim konstrukcijama. u slučaju prolaska kroz požarne zone prolaze je potrebno brtviti protupožarnim brtvilom. Duljina trase kabela je oko 70 m. U stavku uračunati kanalice s montažnim materijalom, izradu prodora kroz zidove i podove objekta (oko 8 bušenja prodora) i sredstvo za brtvljenje. U cijenu stavke uključiti sav rad, materijal, alate i strojeve potrebne za potpuno dovršenje stavke.
Obračun po kompletu ugrađenog kabela.</t>
    </r>
  </si>
  <si>
    <r>
      <t xml:space="preserve">Polaganje kabela do dimovodne kupole.
</t>
    </r>
    <r>
      <rPr>
        <sz val="10"/>
        <rFont val="Calibri"/>
        <family val="2"/>
        <scheme val="minor"/>
      </rPr>
      <t>Stavka obuhvaća dobavu, dopremu i polaganje novog kabela HHXH E90  3 x 1,5 mm² od razdjelnika kata do kontrolnog sustava dimovodne kupole na lokaciji iznad porte ulaza, od kontrolnog sustava do dimovodne kupole i od senzora do kontrolnog sustava kupole. Ukupne duljine trase oko 45 m. Uključujući potrebne metalne kanalice, tiple, vijke i ostali potrošni materijal za ugradnju kabela, te električno povezivanje opreme senzora, kontrolne jedinice i kupole. U cijenu stavke uključiti sav rad, materijal, alate i strojeve potrebne za potpuno dovršenje stavke.
Obračun po kompletu ugrađenog kabela.</t>
    </r>
  </si>
  <si>
    <r>
      <t xml:space="preserve">Montaža tipkala za isklop.
</t>
    </r>
    <r>
      <rPr>
        <sz val="10"/>
        <rFont val="Calibri"/>
        <family val="2"/>
        <scheme val="minor"/>
      </rPr>
      <t>Stavka obuhvaća dobavu, dopremu, ugradnju i električno ožičenje tipkala za isklop razdjelnog ormara na zid iza/pored razdjelnog ormara. U cijenu stavke uključiti sav rad, materijal, alate i strojeve potrebne za potpuno dovršenje stavke.
Obračun po kompletu montiranih tipkala.</t>
    </r>
  </si>
  <si>
    <r>
      <t xml:space="preserve">Montaža javljača dima.
</t>
    </r>
    <r>
      <rPr>
        <sz val="10"/>
        <rFont val="Calibri"/>
        <family val="2"/>
        <scheme val="minor"/>
      </rPr>
      <t>Stavka obuhvaća dobavu, dopremu i ugradnju javljača dima na strop iznad porte i sjevernog stubišta. U cijenu stavke uključiti sav rad, materijal, alate i strojeve potrebne za potpuno dovršenje stavke.
Obračun po kompletu montiranih javljača dima.</t>
    </r>
  </si>
  <si>
    <r>
      <t xml:space="preserve">Montaža kontrolne jedinice centrale za odimljavanje.
</t>
    </r>
    <r>
      <rPr>
        <sz val="10"/>
        <rFont val="Calibri"/>
        <family val="2"/>
        <scheme val="minor"/>
      </rPr>
      <t>Stavka obuhvaća dobavu, dopremu i ugradnju kontrolne jedinice centrale za odimljavanje. U cijenu stavke uključiti sav rad, materijal, alate i strojeve potrebne za potpuno dovršenje stavke.
Obračun po kompletu montiranih kontrolnih jedinica.</t>
    </r>
  </si>
  <si>
    <t>.62</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</si>
  <si>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</si>
  <si>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</si>
  <si>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</si>
  <si>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</si>
  <si>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</si>
  <si>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</si>
  <si>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</si>
  <si>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</si>
  <si>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</si>
  <si>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</si>
  <si>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</si>
  <si>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</si>
  <si>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</si>
  <si>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</si>
  <si>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</si>
  <si>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</si>
  <si>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</si>
  <si>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</si>
  <si>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</si>
  <si>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</si>
  <si>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</si>
  <si>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</si>
  <si>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</si>
  <si>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</si>
  <si>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</si>
  <si>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</si>
  <si>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r>
      <t xml:space="preserve">Zaštita postojećih armatura.
</t>
    </r>
    <r>
      <rPr>
        <sz val="10"/>
        <color theme="1"/>
        <rFont val="Calibri"/>
        <family val="2"/>
        <scheme val="minor"/>
      </rPr>
      <t>Stavka obuhvaća zaštitu svih postojećih rasvjetnih armatura od zaprašenja i zaprljanja zbog radova na sanaciji. U cijenu stavke uključiti sav rad, materijal, alate i strojeve potrebne za potpuno dovršenje stavke.
Obračun po kompletu zaštite postojećih armatura.</t>
    </r>
  </si>
  <si>
    <r>
      <t xml:space="preserve">Montaža oznaka upozorenja i primijenjene zaštite.
</t>
    </r>
    <r>
      <rPr>
        <sz val="10"/>
        <color theme="1"/>
        <rFont val="Calibri"/>
        <family val="2"/>
        <scheme val="minor"/>
      </rPr>
      <t>Stavka obuhvaća dobavu, dopremu i ugradnju oznaka upozorenja i primijenjene zaštite. U cijenu stavke uključiti sav rad, materijal, alate i strojeve potrebne za potpuno dovršenje stavke.
Obračun po kompletu montiranih oznaka.</t>
    </r>
  </si>
  <si>
    <r>
      <t xml:space="preserve">Puštanje instalacije u pogon.
</t>
    </r>
    <r>
      <rPr>
        <sz val="10"/>
        <color theme="1"/>
        <rFont val="Calibri"/>
        <family val="2"/>
        <scheme val="minor"/>
      </rPr>
      <t>Stavka obuhvaća puštanje instalacije u pogon, funkcionalno ispitivanje i podešavanje, te testni rad od dva dana.
Obračun po kompletu izvedenih radova.</t>
    </r>
  </si>
  <si>
    <r>
      <t xml:space="preserve">Izrada dokumentacije izvedenog stanja.
</t>
    </r>
    <r>
      <rPr>
        <sz val="10"/>
        <color theme="1"/>
        <rFont val="Calibri"/>
        <family val="2"/>
        <scheme val="minor"/>
      </rPr>
      <t>Stavka obuhvaća izrada dokumentacije izvedenog stanja, te uputa o načinu rukovanja ugrađenom opremom u 4 primjerka.
Obračun po kompletu izvedenih radova.</t>
    </r>
  </si>
  <si>
    <r>
      <t xml:space="preserve">Pripremni i završni radovi.
</t>
    </r>
    <r>
      <rPr>
        <sz val="10"/>
        <color theme="1"/>
        <rFont val="Calibri"/>
        <family val="2"/>
        <scheme val="minor"/>
      </rPr>
      <t>Stavka obuhvaća pripremne i završne radovi te interni operativni nadzor za vrijeme montaže na gradilištu.
Obračun po kompletu izvedenih radova.</t>
    </r>
  </si>
  <si>
    <r>
      <t xml:space="preserve">Projektantski nadzor u izvođenju elektromontažnih radova.
</t>
    </r>
    <r>
      <rPr>
        <sz val="10"/>
        <color theme="1"/>
        <rFont val="Calibri"/>
        <family val="2"/>
        <scheme val="minor"/>
      </rPr>
      <t>Stavka obuhvaća projektantski nadzor u izvođenju elektromontažnih radova.
Obračun po kompletu izvedenih radova.</t>
    </r>
  </si>
  <si>
    <t>.91</t>
  </si>
  <si>
    <t>.92</t>
  </si>
  <si>
    <t>.93</t>
  </si>
  <si>
    <t>.94</t>
  </si>
  <si>
    <t>.95</t>
  </si>
  <si>
    <t>.96</t>
  </si>
  <si>
    <t>bez ZOP</t>
  </si>
  <si>
    <t>Troškovnik T3.1 - Troškovnik građevinskih radova
Dovođenje građevine u stanje prije potresa</t>
  </si>
  <si>
    <t>Troškovnik T3.2 - Troškovnik građevinskih radova
Dodatna ojačanja konstrukcije i prilagodbe suvremenim
uvjetima korištenja i sigurnosti</t>
  </si>
  <si>
    <r>
      <rPr>
        <b/>
        <sz val="10"/>
        <rFont val="Calibri"/>
        <family val="2"/>
        <scheme val="minor"/>
      </rPr>
      <t>Uklanjanje slojeva poda na međukatnim konstrukcijama i temeljnoj ploči do estriha.</t>
    </r>
    <r>
      <rPr>
        <sz val="10"/>
        <rFont val="Calibri"/>
        <family val="2"/>
        <scheme val="minor"/>
      </rPr>
      <t xml:space="preserve">
Stavka obuhvaća uklanjanje slojeva poda do estriha na mjestima predviđenim za izvedbu pregradnih zidova od pjenobetona (prilozi F3.1, F3.2 i F3.3, sektori S2, S3, S4, P2, P3, P4, K2 i K3). U cijenu stavke uključiti sav rad, materijal, alate i strojeve potrebne za potpuno dovršenje stavke.
Obračun je po m2 uklonjenog materijala.</t>
    </r>
  </si>
  <si>
    <r>
      <t xml:space="preserve">Iskop zemlje za armiranbetonski temelj stubišta.
</t>
    </r>
    <r>
      <rPr>
        <sz val="10"/>
        <rFont val="Calibri"/>
        <family val="2"/>
        <scheme val="minor"/>
      </rPr>
      <t>Stavka obuhvaća strojni iskop zemljanog materijala (kategorija tla C) za armiranobetonski temelj stubišta u širini rova od 40 cm, dubine 80 cm, duljine 118 cm (prilog F3.2, sektor P5 i prilog F7.1). U cijenu stavke uključiti sav rad, materijal, alate i strojeve potrebne za potpuno dovršenje stavke.
Obračun je po m3 iskopanog materijala u sraslom stanju.</t>
    </r>
  </si>
  <si>
    <r>
      <t xml:space="preserve">Ugradnja protupožarnih dvokrilnih vrata širine 210 cm.
</t>
    </r>
    <r>
      <rPr>
        <sz val="10"/>
        <rFont val="Calibri"/>
        <family val="2"/>
        <scheme val="minor"/>
      </rPr>
      <t xml:space="preserve">Stavka obuhvaća dobavu i ugradnju unutrašnjih protupožarnih dvokrilnih staklenih vrata širine 210 cm i visine 210 cm (prilozi F3.1, F3.2 i F3.3, sektori S3,  S4, P3, P4, P7, K2, K3). Protupožarna vrata moraju biti dimonepropusna i otporna na požar 30 minuta (EI2 30-C-Sm) te ugrađena od strane ovlaštenog izvođača, prema specifikacijama proizvođača. U cijenu stavke uključiti sav rad, materijal, potrebnu radnu skelu, alate i strojeve potrebne za potpuno dovršenje stavke.
Obračun je po komadu ugrađenih vrata. </t>
    </r>
  </si>
  <si>
    <r>
      <t xml:space="preserve">Ugradnja protupožarnih dvokrilnih vrata širine 200 cm.
</t>
    </r>
    <r>
      <rPr>
        <sz val="10"/>
        <rFont val="Calibri"/>
        <family val="2"/>
        <scheme val="minor"/>
      </rPr>
      <t xml:space="preserve">Stavka obuhvaća dobavu i ugradnju unutrašnjih protupožarnih dvokrilnih vrata punog krila širine 200 cm i visine 210 cm (prilozi F3.2 i F3.3, sektori P10 i K6). Protupožarna vrata moraju biti dimonepropusna i otporna na požar 30 minuta (EI2 30-C-Sm) te ugrađena od strane ovlaštenog izvođača, prema specifikacijama proizvođača. U cijenu stavke uključiti sav rad, materijal, potrebnu radnu skelu, alate i strojeve potrebne za potpuno dovršenje stavke.
Obračun je po komadu ugrađenih vrata. </t>
    </r>
  </si>
  <si>
    <r>
      <t xml:space="preserve">Ugradnja protupožarnih dvokrilnih vrata širine 140 cm.
</t>
    </r>
    <r>
      <rPr>
        <sz val="10"/>
        <rFont val="Calibri"/>
        <family val="2"/>
        <scheme val="minor"/>
      </rPr>
      <t xml:space="preserve">Stavka obuhvaća dobavu i ugradnju vanjskih protupožarnih dvokrilnih vrata pumog krila širine 140 cm i visine 210 cm (prilog F3.4). Protupožarna vrata moraju biti dimonepropusna i otporna na požar 30 minuta (EI2 30-C-Sm) te ugrađena od strane ovlaštenog izvođača, prema specifikacijama proizvođača. U cijenu stavke uključiti sav rad, materijal, potrebnu radnu skelu, alate i strojeve potrebne za potpuno dovršenje stavke.
Obračun je po komadu ugrađenih vrata. </t>
    </r>
  </si>
  <si>
    <r>
      <t xml:space="preserve">Ugradnja protupožarnih jednokrilnih vrata širine 115 cm.
</t>
    </r>
    <r>
      <rPr>
        <sz val="10"/>
        <rFont val="Calibri"/>
        <family val="2"/>
        <scheme val="minor"/>
      </rPr>
      <t xml:space="preserve">Stavka obuhvaća dobavu i ugradnju unutrašnjih protupožarnih jednokrilnih vrata punog krila širine 115 cm i visine 210 cm (prilog F3.2, sektor P11). Protupožarna vrata moraju biti dimonepropusna i otporna na požar 30 minuta (EI2 30-C-Sm) te ugrađena od strane ovlaštenog izvođača, prema specifikacijama proizvođača. U cijenu stavke uključiti sav rad, materijal, potrebnu radnu skelu, alate i strojeve potrebne za potpuno dovršenje stavke.
Obračun je po komadu ugrađenih vrata. </t>
    </r>
  </si>
  <si>
    <r>
      <t xml:space="preserve">Ugradnja protuprovalnih jednokrilnih vrata širine 110 cm.
</t>
    </r>
    <r>
      <rPr>
        <sz val="10"/>
        <rFont val="Calibri"/>
        <family val="2"/>
        <scheme val="minor"/>
      </rPr>
      <t xml:space="preserve">Stavka obuhvaća dobavu i ugradnju vanjskih protuprovalnih jednokrilnih staklenih vrata širine 110 cm i visine 210 cm (prilog F3.2, sektor P5). Protuprovalna vrata moraju biti ugrađena od strane ovlaštenog izvođača, prema specifikacijama proizvođača. U cijenu stavke uključiti sav rad, materijal, potrebnu radnu skelu, alate i strojeve potrebne za potpuno dovršenje stavke.
Obračun je po komadu ugrađenih vrata. </t>
    </r>
  </si>
  <si>
    <r>
      <t xml:space="preserve">Ugradnja protupožarnih jednokrilnih vrata širine 110 cm.
</t>
    </r>
    <r>
      <rPr>
        <sz val="10"/>
        <rFont val="Calibri"/>
        <family val="2"/>
        <scheme val="minor"/>
      </rPr>
      <t xml:space="preserve">Stavka obuhvaća dobavu i ugradnju unutrašnjih protupožarnih staklenih jednokrilnih vrata širine 110 cm i visine 210 cm (prilozi F3.1, F3.2, sektori S2, P2). Protupožarna vrata moraju biti dimonepropusna i otporna na požar 30 minuta (EI2 30-C-Sm) te ugrađena od strane ovlaštenog izvođača, prema specifikacijama proizvođača. U cijenu stavke uključiti sav rad, materijal, potrebnu radnu skelu, alate i strojeve potrebne za potpuno dovršenje stavke.
Obračun je po komadu ugrađenih vrata. </t>
    </r>
  </si>
  <si>
    <r>
      <t xml:space="preserve">Ugradnja protupožarnih jednokrilnih vrata širine 100 cm.
</t>
    </r>
    <r>
      <rPr>
        <sz val="10"/>
        <rFont val="Calibri"/>
        <family val="2"/>
        <scheme val="minor"/>
      </rPr>
      <t xml:space="preserve">Stavka obuhvaća dobavu i ugradnju unutrašnjih protupožarnih jednokrilnih vrata punog krila širine 100 cm i visine 210 cm (prilozi F3.3, sektor K7). Protupožarna vrata moraju biti dimonepropusna i otporna na požar 30 minuta (EI2 30-C-Sm) te ugrađena od strane ovlaštenog izvođača, prema specifikacijama proizvođača. U cijenu stavke uključiti sav rad, materijal, potrebnu radnu skelu, alate i strojeve potrebne za potpuno dovršenje stavke.
Obračun je po komadu ugrađenih vrata. </t>
    </r>
  </si>
  <si>
    <r>
      <t xml:space="preserve">Ugradnja protupožarnih jednokrilnih vrata širine 90 cm.
</t>
    </r>
    <r>
      <rPr>
        <sz val="10"/>
        <rFont val="Calibri"/>
        <family val="2"/>
        <scheme val="minor"/>
      </rPr>
      <t xml:space="preserve">Stavka obuhvaća dobavu i ugradnju unutrašnjih protupožarnih jednokrilnih vrata punog krila širine 91 cm i visine 210 cm (prilog F3.1,  sektor S5). Protupožarna vrata moraju biti dimonepropusna i otporna na požar 60 minuta (EI2 60-C-Sm) te ugrađena od strane ovlaštenog izvođača, prema specifikacijama proizvođača. U cijenu stavke uključiti sav rad, materijal, potrebnu radnu skelu, alate i strojeve potrebne za potpuno dovršenje stavke.
Obračun je po komadu ugrađenih vrata. </t>
    </r>
  </si>
  <si>
    <r>
      <t xml:space="preserve">Ugradnja protupožarnih jednokrilnih vrata širine 90 cm.
</t>
    </r>
    <r>
      <rPr>
        <sz val="10"/>
        <rFont val="Calibri"/>
        <family val="2"/>
        <scheme val="minor"/>
      </rPr>
      <t xml:space="preserve">Stavka obuhvaća dobavu i ugradnju unutrašnjih protupožarnih jednokrilnih vrata punog krila širine 91 cm i visine 210 cm (prilozi F3.2,  sektor P9). Protupožarna vrata moraju biti dimonepropusna i otporna na požar 30 minuta (EI2 30-C-Sm) te ugrađena od strane ovlaštenog izvođača, prema specifikacijama proizvođača. U cijenu stavke uključiti sav rad, materijal, potrebnu radnu skelu, alate i strojeve potrebne za potpuno dovršenje stavke.
Obračun je po komadu ugrađenih vrata. </t>
    </r>
  </si>
  <si>
    <r>
      <t xml:space="preserve">Ugradnja protupožarnih jednokrilnih vrata širine 110 cm.
</t>
    </r>
    <r>
      <rPr>
        <sz val="10"/>
        <rFont val="Calibri"/>
        <family val="2"/>
        <scheme val="minor"/>
      </rPr>
      <t xml:space="preserve">Stavka obuhvaća dobavu i ugradnju unutrašnjih protupožarnih jednokrilnih vrata punog krila širine 110 cm i visine 210 cm (prilozi F3.2 i F3.3, sektori P7, P8 i K4). Protupožarna vrata moraju biti dimonepropusna i otporna na požar 30 minuta (EI2 30-C-Sm) te ugrađena od strane ovlaštenog izvođača, prema specifikacijama proizvođača. U cijenu stavke uključiti sav rad, materijal, potrebnu radnu skelu, alate i strojeve potrebne za potpuno dovršenje stavke.
Obračun je po komadu ugrađenih vrata. </t>
    </r>
  </si>
  <si>
    <t>TROŠKOVNIK T1
troškovnik građevinskih radova</t>
  </si>
  <si>
    <t>TROŠKOVNIK T2
troškovnik svih radova</t>
  </si>
  <si>
    <t>Troškovnik T2.1 - Troškovnik građevinskih radova
Dovođenje građevine u stanje prije potresa</t>
  </si>
  <si>
    <t>Troškovnik T2.2 - Troškovnik građevinskih radova
Dodatna ojačanja konstrukcije i prilagodbe suvremenim
uvjetima korištenja i sigurnosti</t>
  </si>
  <si>
    <t>T2.2.1 Troškovnik radova konstrukcijske obnove</t>
  </si>
  <si>
    <t>T2.2.2 Troškovnik elektroinstalaterskih radova</t>
  </si>
  <si>
    <t>T2.2.3 Troškovnik strojarskih radova</t>
  </si>
  <si>
    <t>T2.2.4 Troškovnik radova vodovoda i odvodnje</t>
  </si>
  <si>
    <t>T2.2.5 Troškovnik radova za ZOP</t>
  </si>
  <si>
    <t>TROŠKOVNIK T3
Objedinjeni troškovnik svih radova faze I.</t>
  </si>
  <si>
    <t xml:space="preserve">PRILOG 1 - TROŠKOVNICI
</t>
  </si>
  <si>
    <t xml:space="preserve">PRILOG 2 - GRAFIČKI PRILOZI
</t>
  </si>
  <si>
    <t>T3.1</t>
  </si>
  <si>
    <t>T3.2</t>
  </si>
  <si>
    <r>
      <t xml:space="preserve">Dobava centrale za dojavu požara.
</t>
    </r>
    <r>
      <rPr>
        <sz val="10"/>
        <color theme="1"/>
        <rFont val="Calibri"/>
        <family val="2"/>
        <scheme val="minor"/>
      </rPr>
      <t>Dobava i isporuka centrale za dojavu požara s dvije petlje, sa sljedećim minimalnim tehničkim karakteristikama:
- umreživa
- 2 vatrodojavne petlje, neproširivo, prihvat minimalno 240 elemenata po svakoj petlji
- metalno kućište s plastičnom prednjom pločom
- integrirano 24V/4A napajanje i punjač za baterije od 1.2A za baterije od 17Ah
- Ethernet priključak za umrežavanje centrala, daljinsko programiranje, IP dojavu, BMS monitoring ili MODBUS protokol
- mogućnost povezivanja putem mreže na cloud sustav za nadzor i održavanje sustava ili Android/iOS aplikaciju
- mini USB port za konfiguraciju preko računala
- mogućnost ugradnje micro SD kartice za prikaz topografskih karti, spremanje i čitanje konfiguracija te spremanje zapisa događaja
- RS485 za izdvojene tipkovnice (podrška za 14 izdvojenih tipkovnica) ili umrežavanje u mrežu centrala (podrška za 50 umreženih centrala)</t>
    </r>
  </si>
  <si>
    <t>- 4 konfigurabilna I/O kanala za 1A nadzirane naponske ulaze ili izlaze
- 1 konfigurabilni relejni izlaz
- 4.3” LCD dodirni zaslon
- silikonske tipke za osnovne funkcije
- minimalno 1000 zona
- minimalno 1000 grupa za aktivacijsku logiku
- Zapis minimalno 2000 događaja
- konfigurabilni zaslon sa slikama, tekstom, ikonama i funkcijskim tipkama
- temperaturni opseg rada najmanje u rasponu od -5°C do +40°C
- sukladnost prema HRN EN 54-2, HRN EN 54-4, HRN EN 54-21, HRN EN 12094-1 ili jednakovrijednim normama
Ponuđeni tip: INIM S-Previdia-C200LG ili jednako vrijedno.</t>
  </si>
  <si>
    <t>- ikone trebaju imati slijedeće funkcionalnosti:
- mogućnost prikaza statusa (uključeno/isključeno, otvoreno/zatvoreno, …) različitim simbolima/bojama
- mogućnost prikaza alarma različitim bojama
- mogućnost upravljanja pripadajućim sustavom (npr. za protuprovalni sustav uključenje/isključenje zaštite, za video nadzorni sustav upravljanje relejima na kameri, …)
- mogućnost promjene prikaza kamera na drugom monitoru
- mogućnost prikaza druge mape (navigacijski element)
- mogućnost obrade zaprimljenih alarma prema unaprijed definiranim pravilima
- mogućnost prikaza statusa i alarma svih detektora u sustavu protuprovale, statusa i alarma svih particija, kao i mogućnost upravljanja istima ukoliko za to postoje ovlasti (uključenje/isključenje)
- SQL Server baza podataka Enterprise, Express, ili Compact Edition
- dvosmjerna integracija sa trećim sustavima korištenjem SSH ili jednakovrijednog sučelja
Ponuđeni tip: Alarm automatika ABsistemDCi ili jednakovrijedno.</t>
  </si>
  <si>
    <t>Konfiguracija jednog ulaznog ili izlaznog aktivnog elementa u aplikaciji integracije sustava.</t>
  </si>
  <si>
    <r>
      <t xml:space="preserve"> Dobava licence za spoj centrale za dojavu požara.
</t>
    </r>
    <r>
      <rPr>
        <sz val="10"/>
        <color theme="1"/>
        <rFont val="Calibri"/>
        <family val="2"/>
        <scheme val="minor"/>
      </rPr>
      <t>Dobava i isporuka licence za spoj centrale za dojavu požara na osnovnu aplikaciju za integraciju.
Ponuđeni tip: Alarm automatika ABsistemDCi Inim Previdia ili jednakovrijedno.</t>
    </r>
  </si>
  <si>
    <r>
      <t xml:space="preserve"> Dobava centralne softverske aplikacije za nadzor nad sustavom za dojavu požara.
</t>
    </r>
    <r>
      <rPr>
        <sz val="10"/>
        <color theme="1"/>
        <rFont val="Calibri"/>
        <family val="2"/>
        <scheme val="minor"/>
      </rPr>
      <t>Dobava i isporuka centralne softverske aplikacije za nadzor nad sustavom za dojavu požara, potrebne licence za pojedine elemente sustava sa slijedećim karakteristikama:
- programski paket za grafički prikaz i upravljanje sustavima dojave požara
- integracija sa video nadzornim sustavom
- integracija sa sustavom protuprovale
- grafičke mape štićenog prostora (neograničen broj mapa)
- grafički prikaz stanja alarmnog sustava i interaktivni simboli elemenata alarmnog sustava
- pretraživanje događaja iz baze podataka
- neograničeni broj operatera s različitim pravima
- u slučaju prekida komunikacije sa pojedinim sustavom, servis treba automatski obavijestiti operatera putem klijentske aplikacije te pokušavati uspostaviti vezu sa dotičnim sustavom
- mogućnost povezivanja svakog tlocrtnog prikaza sa odgovarajućim prikazom kamera na drugom ekranu
- aplikacija mora imati mogućnost, da u slučaju određene alarmne situacije, prikaže tlocrtni prikaz dijela objekta u kojem je detektiran alarm s promijenjenom bojom aktivnog simbola koji je u alarmu te da operater može trenutno dobiti video sliku s alarmne pozicije na pomoćnom monitoru. Svi alarmni događaji moraju biti prikazani u obliku alarmne liste na kojoj će biti navedeni svi neobrađeni alarmni događaji (u odgovarajućim bojama koje određuju pojedini događaj)</t>
    </r>
  </si>
  <si>
    <r>
      <t xml:space="preserve"> Dobava adresabilne sirene s bljeskalicom napajana iz petlje.
</t>
    </r>
    <r>
      <rPr>
        <sz val="10"/>
        <color theme="1"/>
        <rFont val="Calibri"/>
        <family val="2"/>
        <scheme val="minor"/>
      </rPr>
      <t>Dobava i isporuka adresabilne sirene s bljeskalicom napajane iz petlje, sljedećih minimalnih tehničkih karakteristika:
- napajanje iz petlje ili preko vanjskog napajanja
- termoplastično kućište crvene boje
- izbor minimalno 14 tonova i 2 jačine bljeskanja (putem zasebnog programatora ili centrale za dojavu požara)
- svjetlosno pokrivanje bljeskalicom W = 3,5-10 (prema HRN EN 54-23)
- frekvencija bljeskanja 0,5 Hz
- mogućnost sinkronizacije s ostalim sirenama u sustavu
- signalizacijska LED dioda s mogućnošću mijenjanja boje
- glasnoća do 101 dB(A)@1m
- integriran izolator kratkog spoja (prema HRN EN 54-17)
- radni napon minimalno u rasponu od 18 do 30Vdc
- IP65 zaštita, pogodna za vanjsku ugradnju (IP21 prema HRN EN 54-3)
- struja mirovanja najviše 0,5 mA
- struja alarma najviše 45 mA
- radna temperatura -10°C do +55°C
- mora biti sukladna normama HRN EN 54-3, HRN EN 54-17, HRN EN 54-23 ili jednakovrijednima
Ponuđeni tip: INIM S-ES2020RE ili jednakovrijedno.</t>
    </r>
  </si>
  <si>
    <r>
      <t xml:space="preserve"> Dobava adresabilne sirene napajane iz petlje.
</t>
    </r>
    <r>
      <rPr>
        <sz val="10"/>
        <color theme="1"/>
        <rFont val="Calibri"/>
        <family val="2"/>
        <scheme val="minor"/>
      </rPr>
      <t>Dobava i isporuka adresabilne sirene napajane iz petlje, niske potrošnje, sljedećih minimalnih tehničkih karakteristika:
- napajanje iz petlje ili preko vanjskog napajanja
- termoplastično kućište crvene boje
- izbor minimalno 14 tonova (putem zasebnog programatora ili centrale za dojavu požara)
- mogućnost sinkronizacije s ostalim sirenama u sustavu
- signalizacijska LED s mogućnošću mijenjanja boje
- glasnoća do 101 dB(A)@1m
- integriran izolator kratkog spoja (prema HRN EN 54-17)
- radni napon minimalno u rasponu od 20 do 30Vdc
- IP65 zaštita, pogodna za vanjsku ugradnju (IP21 prema HRN EN 54-3)
- struja mirovanja najviše 0,5 mA
- struja alarma najviše 5 mA
- radna temperatura -10°C do +55°C
- mora biti sukladna normama HRN EN 54-3, HRN EN 54-17, HRN EN 54-23 ili jednakovrijednima
Ponuđeni tip: INIM S-ES2011RE ili jednakovrijedno.</t>
    </r>
  </si>
  <si>
    <r>
      <t xml:space="preserve"> Dobava nadžbukne kutije za ulazno-izlazni modul.
</t>
    </r>
    <r>
      <rPr>
        <sz val="10"/>
        <color theme="1"/>
        <rFont val="Calibri"/>
        <family val="2"/>
        <scheme val="minor"/>
      </rPr>
      <t>Dobava i isporuka nadžbukne kutije za ulazno-izlazni modul dim.150 x 150 x 75 mm ili sličnih.
Ponuđeni tip: INIM S-EMB150 ili jednakovrijedno.</t>
    </r>
  </si>
  <si>
    <r>
      <t xml:space="preserve"> Dobava ulazno-izlaznih modula s 4 ulaza i 4 izlaza.</t>
    </r>
    <r>
      <rPr>
        <sz val="10"/>
        <color theme="1"/>
        <rFont val="Calibri"/>
        <family val="2"/>
        <scheme val="minor"/>
      </rPr>
      <t xml:space="preserve">
Dobava i isporuka ulazno-izlaznog modula s 4 ulaza i 4 izlaza
- mogućnost samoadresiranja
- najmanje 4 nadzirana ulaza (najmanje 2 ulaza se mogu konfigurirati kao sučelje za konvencionalne linije ili sučelje za detektore s protokolom 4-20 mA)
- najmanje 4 beznaponska nadzirana izlaza, 1A@30Vdc
- integriran izolator petlje
- radni napon u rasponu od 9 do 30 Vdc
- struja u mirovanju najviše 80 μA, struja u alarmu najviše 20 mA
- radna temperatura minimalno u rasponu od -5°C do +40°C
- mora biti sukladan normama HRN EN 54-17 i HRN EN 54-18 ili jednakovrijednima
Ponuđeni tip: INIM S-EM344R ili jednakovrijedno.</t>
    </r>
  </si>
  <si>
    <r>
      <t>Dobava ulazno-izlaznih modula s 1 ulazom i 2 izlaza.</t>
    </r>
    <r>
      <rPr>
        <sz val="10"/>
        <color theme="1"/>
        <rFont val="Calibri"/>
        <family val="2"/>
        <scheme val="minor"/>
      </rPr>
      <t xml:space="preserve">
Dobava i isporuka ulazno-izlaznog modula s 1 ulazom i 2 izlaza
- mogućnost samoadresiranja
- najmanje 1 nadzirani ulaz
- najmanje 1 nadzirani izlaz
- najmanje 1 beznaponski izlaz 1A@30Vdc
- integriran izolator petlje
- radni napon u rasponu od 9 do 30 Vdc
- struja u mirovanju najviše 80 μA, struja u alarmu najviše 20 mA
- radna temperatura minimalno u rasponu od -5°C do +40°C
- mora biti sukladan normama HRN EN 54-17 i HRN EN 54-18 ili jednakovrijednima
Ponuđeni tip: INIM S-EM312SR ili jednakovrijedno.</t>
    </r>
  </si>
  <si>
    <r>
      <t xml:space="preserve"> Dobava adresabilnog ručnog javljača požara s integriranim izolatorom petlje.</t>
    </r>
    <r>
      <rPr>
        <sz val="10"/>
        <color theme="1"/>
        <rFont val="Calibri"/>
        <family val="2"/>
        <scheme val="minor"/>
      </rPr>
      <t xml:space="preserve">
Dobava i isporuka adresabilnog ručnog javljača požara s integriranim izolatorom petlje, bez razbijanja stakla, crvene boje, reset ključem, sljedećih minimalnih tehničkih karakteristika:
- mehanička vizualna inidkacija aktivacije
- mora imati prozirni plastični element za aktivaciju koje se mora moći ručno vratiti u neutralan položaj, bez lomljenja i potrebe za zamjenom nakon svake aktivacije
- po naredbi iz adresabilne centrale šalje informaciju o stanju javljača
- ugrađen izolator petlje
- radni napon u rasponu od 9 do 30 Vdc
- struja u mirovanju najviše 80 μA, struja u alarmu najviše 5 mA
- radna temperatura minimalno u rasponu od -10°C do +55°C
- mora biti sukladan normama HRN EN 54-11 i HRN EN 54-17 ili jednakovrijednima
Ponuđeni tip: INIM S-EC0020 ili jednakovrijedno.</t>
    </r>
  </si>
  <si>
    <r>
      <t xml:space="preserve"> Dobava odstojnika za nadžbuknu montažu.
</t>
    </r>
    <r>
      <rPr>
        <sz val="10"/>
        <color theme="1"/>
        <rFont val="Calibri"/>
        <family val="2"/>
        <scheme val="minor"/>
      </rPr>
      <t>Dobava i isporuka odstojnika za nadžbuknu montažu za montažu ispod podnožja detektora na pozicijama gdje nema spuštenog stropa.
Ponuđeni tip: INIM S-EB0030 ili jednakovrijedno.</t>
    </r>
  </si>
  <si>
    <r>
      <t xml:space="preserve"> Dobava adresabilnog optičko-termičkog detektora požara s integriranim izolatorom petlje.</t>
    </r>
    <r>
      <rPr>
        <sz val="10"/>
        <color theme="1"/>
        <rFont val="Calibri"/>
        <family val="2"/>
        <scheme val="minor"/>
      </rPr>
      <t xml:space="preserve">
Dobava i isporuka adresabilnog optičko-termičkog detektora požara s integriranim izolatorom petlje sa sljedećim minimalnim tehničkim karakteristikama:
- niskoprofilni analogno adresabilni višekriterijski (optičkotermički) detektor požara
- dvobojna LED, crvena boja alarm, zelena-sporo bljeskanje standby, brzo
- bljeskanje: greška ili visok nivo zaprljanja
- potpuna dijagnostika stanja detektora: provjera ostalih vrijednosti u realnom vremenu
- ugrađen izolator petlje
- zaštita od smetnji, dvostruka zaštita od prašine i insekata
- radni napon minimalno u rasponu od 19 do 30 Vdc
- struja u mirovanju najviše 200 μA, struja u alarmu najviše 10 mA
- minimalno četiri stupnja osjetljivosti za detekciju dima (0,08/0,1/0,12/0,15 dB/m)
- minimalno četiri stupnja osjetljivosti termistora prema HRN EN 54 (A1R / B / BR / A2S)
- minimalno pet načina rada: PLUS, ILI, I, DIM, TOPLINA
- radna temperatura minimalno u rasponu od -5°C do +40°C
- mora biti sukladan normama HRN EN 54-5, HRN EN 54-7 i HRN EN 54-17 ili jednakovrijednima
Ponuđeni tip: INIM S-ED300 ili jednakovrijedno.</t>
    </r>
  </si>
  <si>
    <r>
      <t>Dobava adresabilnog optički detektora s integriranim izolatorom petlje.</t>
    </r>
    <r>
      <rPr>
        <sz val="10"/>
        <color theme="1"/>
        <rFont val="Calibri"/>
        <family val="2"/>
        <scheme val="minor"/>
      </rPr>
      <t xml:space="preserve">
Dobava i isporuka adresabilnog optičkog detektora s integriranim izolatorom petlje sa sljedećim minimalnim tehničkim karakteristikama:
- obavezno automatsko adresiranje s centrale
- obavezno mogućnost ručnog adresiranja s centrale
- obavezno podesiva osjetljivost s centrale, posebno za dnevni, posebno za noćni režim
- ugraden izolator petlje
- napredni dizajn optičke komore, zaštita od smetnji, dvostruka zaštita od prašine i insekata , zaštitna mrežica sa ultra-malim otvorima (500μm)
- trobojna LED vidljiva 360°
- mogucnost izbora osjetljivosti detektora i moda rada daljinski putem centrale
- radni napon minimalno u rasponu od 19 do 30 Vdc
- struja u mirovanju najviše 200 μA, struja u alarmu najviše 10 mA
- minimalno četiri stupnja osjetljivosti (0,08/0,1/0,12/0,15 dB/m)
- radna temperatura minimalno u rasponu od -5°C do +40°C
- mora biti sukladan normama HRN EN 54-7 i HRN EN 54-17 ili jednakovrijednima
Ponuđeni tip: INIM S-ED100 ili jednakovrijedno.</t>
    </r>
  </si>
  <si>
    <r>
      <t xml:space="preserve"> Dobava akumulatorske baterije.
</t>
    </r>
    <r>
      <rPr>
        <sz val="10"/>
        <color theme="1"/>
        <rFont val="Calibri"/>
        <family val="2"/>
        <scheme val="minor"/>
      </rPr>
      <t>Dobava i isporuka akumulatorskih baterija za rezervno napajanje sustava za dojavu požara. Napon 12 VDC, kapacitet 18 Ah.
Ponuđeni tip: ULTRA12150 ili jednakovrijedno.</t>
    </r>
  </si>
  <si>
    <r>
      <t xml:space="preserve"> Dobava GSM/PSTN komunikacijskog modula proširenja.</t>
    </r>
    <r>
      <rPr>
        <sz val="10"/>
        <color theme="1"/>
        <rFont val="Calibri"/>
        <family val="2"/>
        <scheme val="minor"/>
      </rPr>
      <t xml:space="preserve">
Dobava i isporuka GSM/PSTN komunikacijskog modula proširenja sa sljedećim minimalnim tehničkim karakteristikama:
- ugrađuje se izravno na matičnu ploču centrale za dojavu požara
- mora podržavati protokole Contact ID i SIA
- mora biti sukladna normi HRN EN 54-21 ili jednakovrijednoj
- mora podržavati minimalno 100 glasovnih poruka (sveukupnog trajanja do najmanje 15 minuta)
- mora podržavati minimalno 100 akcija
- minimalno 100 prilagodljivih SMS poruka
- minimalno 15 telefonskih brojeva za dojavu (digitalno, glasovno, SMS)
- napajanje od 19 do 30 Vdc
- mini USB port, konektor za GSM antenu, utor za SIM karticu, konektori za telefonsku liniju
- radna temperatura: minimalno u rasponu od -5°C do +40°C
Ponuđeni tip: INIM S-Previdia-CDIAL ili jednakovrijedno.</t>
    </r>
  </si>
  <si>
    <r>
      <rPr>
        <b/>
        <sz val="10"/>
        <color theme="1"/>
        <rFont val="Calibri"/>
        <family val="2"/>
        <scheme val="minor"/>
      </rPr>
      <t xml:space="preserve"> Dobava panela za nadzor i upravljanje nad sustavom za dojavu požara.</t>
    </r>
    <r>
      <rPr>
        <sz val="10"/>
        <color theme="1"/>
        <rFont val="Calibri"/>
        <family val="2"/>
        <scheme val="minor"/>
      </rPr>
      <t xml:space="preserve">
Dobava i isporuka izdvojenog panela za nadzor i upravljanje nad sustavom za dojavu požara, sljedećih minimalnih tehničkih karakteristika:
- replicira sve informacije sa sustava i omogućava pristup korisnicima ovisno o pristupnim šiframa
- 4.3" LCD dodirni zaslon zajedno sa silikonskim tipkama za osnovne funkcije
- konfigurabilni zaslon
- moguće spajanje preko RS485 protokola ili TCP/IP umrežavanje
- Napajanje 19-30 Vdc (putem RS485 iz centrale ili lokalno)
- Potrošnja ne veća od 130 mA
Ponuđeni tip: INIM S-Previdia-CREPW ili jednakovrijedno.</t>
    </r>
  </si>
  <si>
    <r>
      <t xml:space="preserve">Dobava vatrootpornog ormara za smještaj vatrodojavne centrale.
</t>
    </r>
    <r>
      <rPr>
        <sz val="10"/>
        <color theme="1"/>
        <rFont val="Calibri"/>
        <family val="2"/>
        <scheme val="minor"/>
      </rPr>
      <t>Dobava i isporuka vatrootpornog ormara za smještaj vatrodojavne centrale. Izrada od čeličnog pocinčanog lima, završna obrada plastifikacijom u boji RAL kataloga po specifikaciji naručitelja- ostakljena vrata izvedena su protupožarnim staklom u klasi F60, debljine 21cm- ugrađena protupožarna brava po DIN-18250 i cilindar sa tri ključacertificiran po ovlaštenim ustanovama u RH- dimenzije 80x80x25 cm.
Ponuđeni tip: ELEKTROMETAL VOC T60 ili jednakovrijedno.</t>
    </r>
  </si>
  <si>
    <r>
      <t xml:space="preserve">Montaža elemenata vatrodojavne centrale.
</t>
    </r>
    <r>
      <rPr>
        <sz val="10"/>
        <color theme="1"/>
        <rFont val="Calibri"/>
        <family val="2"/>
        <scheme val="minor"/>
      </rPr>
      <t>Montaža adresabilne vatrodojavne centrale:
Montaža adresabilne vatrodojavne centrale na zid s vijcima i tiplama s uvlačenjem kabela;
Montaža i spajanje akumulatora za vatrodojavnu centralu;
Spajanje adresabilne vatrodojavne centrale;
Skidanje izolacije s kabela i izvođenje ožičenja unutar vatrodojavne centrale.
Ugradnja svih kartica petlje i kartica proširenja.</t>
    </r>
  </si>
  <si>
    <t>Montaža i spajanje izdvojenog panela.</t>
  </si>
  <si>
    <t>Montaža podnožja i spajanje podnožja vatrodojavnog detektora na liniju.</t>
  </si>
  <si>
    <r>
      <t xml:space="preserve">Dobava podnožja za adresabilne detektore.
</t>
    </r>
    <r>
      <rPr>
        <sz val="10"/>
        <color theme="1"/>
        <rFont val="Calibri"/>
        <family val="2"/>
        <scheme val="minor"/>
      </rPr>
      <t>Dobava i isporuka podnožja za adresabilne detektore. Mora biti opremljeno sa kontaktom (mostom) koji osigurava neprekinutost linije prilikom skidanja detektora.
Ponuđeni tip: INIM S-EB0010 ili jednakovrijedno.</t>
    </r>
  </si>
  <si>
    <t>Montaža javljača požara na podnožje i adresiranje detektora.</t>
  </si>
  <si>
    <t>Montaža odstojnika.</t>
  </si>
  <si>
    <t>Montaža i spajanje ručnog javljača požara i adresiranje.</t>
  </si>
  <si>
    <t>Montaža i spajanje vatrodojavne sirene / bljeskalice.</t>
  </si>
  <si>
    <t>Montaža i spajanje ulazno-izlaznog modula.</t>
  </si>
  <si>
    <r>
      <t xml:space="preserve">Programiranje telefonske dojave centrale za dojavu požara_x005F_x000D_
</t>
    </r>
    <r>
      <rPr>
        <sz val="10"/>
        <color theme="1"/>
        <rFont val="Calibri"/>
        <family val="2"/>
        <scheme val="minor"/>
      </rPr>
      <t>- programiranje telefonske dojave i spajanje na dojavni centar po izboru investitora sa zoningom</t>
    </r>
  </si>
  <si>
    <t>Puštanje sustava za dojavu požara i vatrodojavnih petlji u rad, uz provjeru petlji, pronalaženje eventualnih grešaka i njihovo ispravljanje, do pune funkcionalnosti svake petlje.</t>
  </si>
  <si>
    <r>
      <t xml:space="preserve">Programiranje adresabilne vatrodojavne centrale_x005F_x000D_
</t>
    </r>
    <r>
      <rPr>
        <sz val="10"/>
        <color theme="1"/>
        <rFont val="Calibri"/>
        <family val="2"/>
        <scheme val="minor"/>
      </rPr>
      <t>- po jednom detektoru, javljaču, sireni ili modulu</t>
    </r>
  </si>
  <si>
    <t>Dobava potrebnih oznaka i označavanje svih elemenata vatrodojavnog sustava prema blok-shemi.</t>
  </si>
  <si>
    <r>
      <t xml:space="preserve">Izrada protupožarnog brtvljenja_x005F_x000D_
</t>
    </r>
    <r>
      <rPr>
        <sz val="10"/>
        <rFont val="Calibri"/>
        <family val="2"/>
        <scheme val="minor"/>
      </rPr>
      <t>- na probojima između požarnih sektora sa atestiranim negorivim materijalima odgovarajuće klase vatrootpornosti i označavanje mjesta protupožarnog brtvljenja.</t>
    </r>
  </si>
  <si>
    <r>
      <t xml:space="preserve">Izrada projekta izvedenog stanja sustava za dojavu požara.
</t>
    </r>
    <r>
      <rPr>
        <sz val="10"/>
        <rFont val="Calibri"/>
        <family val="2"/>
        <scheme val="minor"/>
      </rPr>
      <t>- u 3 tiskana primjerka te jednom primjeku u digitalnom obliku</t>
    </r>
  </si>
  <si>
    <r>
      <t xml:space="preserve">Prvo ispitivanje sustava od strane ovlaštene tvrtke
</t>
    </r>
    <r>
      <rPr>
        <sz val="10"/>
        <rFont val="Calibri"/>
        <family val="2"/>
        <scheme val="minor"/>
      </rPr>
      <t>- uključuje izdavanje uvjerenja o ispravnosti sustava i zapisnika o obavljenom funkcionalnom ispitivanju</t>
    </r>
  </si>
  <si>
    <r>
      <t xml:space="preserve">Obuka korisnika za rukovanje sustavom dojave požara_x005F_x000D_
</t>
    </r>
    <r>
      <rPr>
        <sz val="10"/>
        <rFont val="Calibri"/>
        <family val="2"/>
        <scheme val="minor"/>
      </rPr>
      <t>- uključivo tiskane upute za rukovanje na hrvatskom jeziku (2 primjerka)</t>
    </r>
  </si>
  <si>
    <t>Dobava i isporuka napajčakog kabela NHXH (E30) 3x2,5mm2</t>
  </si>
  <si>
    <t>m'</t>
  </si>
  <si>
    <t>Dobava i isporuka kabela UTP 4x2x24 AWG Cat 5e za spoj dojavnika na telefonsku liniju.</t>
  </si>
  <si>
    <r>
      <t xml:space="preserve">Dobava i isporuka vatrodojavnog kabela, krutih vodiča 2x1 mm2, oznake SAS0215HFAAH
</t>
    </r>
    <r>
      <rPr>
        <sz val="10"/>
        <rFont val="Calibri"/>
        <family val="2"/>
        <scheme val="minor"/>
      </rPr>
      <t>- crvene boje
- samogasiva PVC izolacija
- bezhalogeni, malodimni</t>
    </r>
  </si>
  <si>
    <r>
      <t xml:space="preserve">Dobava i isporuka vatrodojavnog kabela, krutih vodiča, poboljšanih svojstava u požaru, s očuvanjem električne funkcije u požaru, oznake JB-H(St)H E30 2x2x0,8mm2
</t>
    </r>
    <r>
      <rPr>
        <sz val="10"/>
        <rFont val="Calibri"/>
        <family val="2"/>
        <scheme val="minor"/>
      </rPr>
      <t>- crvene boje
- samogasiva PVC izolacija
- bezhalogeni, malodimni
- CPR klasifikacija C - s1a, d0, a1</t>
    </r>
  </si>
  <si>
    <r>
      <t xml:space="preserve">Dobava i nadžbukna ugradnja plastične kabelske kanalice 120x50mm
</t>
    </r>
    <r>
      <rPr>
        <sz val="10"/>
        <rFont val="Calibri"/>
        <family val="2"/>
        <scheme val="minor"/>
      </rPr>
      <t>- uključujući potrebni instalacijski spojni i montažni pribor i materijal (razvodne kutije, uvodnice, gips, tiple, vijci, spojnice, koljena, nosači)</t>
    </r>
  </si>
  <si>
    <t>.97</t>
  </si>
  <si>
    <t>.98</t>
  </si>
  <si>
    <t>.99</t>
  </si>
  <si>
    <t>.100</t>
  </si>
  <si>
    <r>
      <t xml:space="preserve">Dobava i nadžbukna ugradnja plastične kabelske kanalice 40x17mm_x005F_x000D_
</t>
    </r>
    <r>
      <rPr>
        <sz val="10"/>
        <rFont val="Calibri"/>
        <family val="2"/>
        <scheme val="minor"/>
      </rPr>
      <t>- uključujući potrebni instalacijski spojni i montažni pribor i materijal (razvodne kutije, uvodnice, gips, tiple, vijci, spojnice, koljena, nosači)</t>
    </r>
  </si>
  <si>
    <r>
      <t xml:space="preserve">Dobava i nadžbukna ugradnja plastične kabelske kanalice 20x15mm
</t>
    </r>
    <r>
      <rPr>
        <sz val="10"/>
        <rFont val="Calibri"/>
        <family val="2"/>
        <scheme val="minor"/>
      </rPr>
      <t>- uključujući potrebni instalacijski spojni i montažni pribor i materijal (razvodne kutije, uvodnice, gips, tiple, vijci, spojnice, koljena, nosači)</t>
    </r>
  </si>
  <si>
    <t>Polaganje negorive rebraste CS cijevi fi 25 mm</t>
  </si>
  <si>
    <t>Polaganje negorive rebraste CS cijevi fi 25 mm u zid od opeke ili betona, uključujući sav potreban dodatni materijal i pribor</t>
  </si>
  <si>
    <t>Bušenje proboja Ø 24 mm kroz betonske zidove debljine do 300 mm</t>
  </si>
  <si>
    <t>Uvlačenje voda u instalacijske cijevi ili kanalice</t>
  </si>
  <si>
    <r>
      <t xml:space="preserve">Priključak vatrodojavne centrale na napajanje_x005F_x000D_.
</t>
    </r>
    <r>
      <rPr>
        <sz val="10"/>
        <rFont val="Calibri"/>
        <family val="2"/>
        <scheme val="minor"/>
      </rPr>
      <t>Osigurač 10 A, montaža i spajanje osigurača u razvodnom ormaru, spajanje priključka na ormar</t>
    </r>
    <r>
      <rPr>
        <b/>
        <sz val="10"/>
        <rFont val="Calibri"/>
        <family val="2"/>
        <scheme val="minor"/>
      </rPr>
      <t>.</t>
    </r>
  </si>
  <si>
    <t>Demontaža i odlaganje postojećih antipaničnih armatura.</t>
  </si>
  <si>
    <t>Dobava i montaža antipanične armature, za nužnu rasvjetu s vlastitim accu napajanjem i LED 3W, autonomije 3 sata, oznakom “izlaz” ili "→" prema postojećim oznakama</t>
  </si>
  <si>
    <t>Nabavka, dostava i ugradnja tipkala za isklop u slučaju nužde J-Pr10 u IP55 zaštiti s mirnim i radnim kontaktom, s pripadnim električkim povezivanjem na razdjelnik odnosno u sustav jedinstvenog isklopa svih razdjelnika</t>
  </si>
  <si>
    <r>
      <t xml:space="preserve">Nabavka, dostava i polaganje kabela NYY-J 3x0,73 mm² povezivanjem na razdjelnike etaža za potrebe ostvarivanja jedinstvenog isklopa svih razdjelnika.
</t>
    </r>
    <r>
      <rPr>
        <sz val="10"/>
        <rFont val="Calibri"/>
        <family val="2"/>
        <scheme val="minor"/>
      </rPr>
      <t>Kabel se polaže u kanalice i kroz otvore u betonskim konstrukcijama. U slučaju prolaska kroz požarne zone prolaze je potrebno brtviti protu požarnim brtvilom. Duljina trase kabela je oko 70 m. U stavku uračunati kanalice s montažnim materijalom, izradu prodora kroz zidove i podove objekta (oko 8 bušenja prodora) i sredstvo za brtvljenje.</t>
    </r>
  </si>
  <si>
    <t>Dobava, dostava, montaža i električno ožičenje tipkala za isklop razdjelnog ormara na zid iza/pored razdjelnog ormara.</t>
  </si>
  <si>
    <r>
      <t xml:space="preserve">Dobava i isporuka - centrala za odimljavanje, VdS certifikat, 480W, interni kapacitet 17-38Ah, BUS komunikacija, mogućnost grupiranja motora u 3 grupe, napajanje centrale 230V, izlaz za komponente 24V, osigurana autonomija 72h.
</t>
    </r>
    <r>
      <rPr>
        <sz val="10"/>
        <rFont val="Calibri"/>
        <family val="2"/>
        <scheme val="minor"/>
      </rPr>
      <t>U skladu sa EN 12101-10 ili jednakovrijednom normom. Mogućnost podešavanja funkcija PC softverom. Mogućnost za 5 dodatnih modula. Mogućnost nadogradnje sa modulom za spajanje na CNUS putem BACnet-a. Osigurati beznaponski kontakt centralnog požarnog sustava za automatsku aktivaciju.</t>
    </r>
  </si>
  <si>
    <t>Dobava i isporuka ručnog javljača / tipkala , 24V DC, VdS, RAL 2011 narančaste boje, za nadžbuknu montažu.</t>
  </si>
  <si>
    <t>Dobava i isporuka tipkala za ručno provjetravanje.</t>
  </si>
  <si>
    <t>Montaža, spajanje, programiranje i puštanje u rad centrale za odimljavanje.</t>
  </si>
  <si>
    <t>Montaža i spajanje pogona za otvaranje prozora.</t>
  </si>
  <si>
    <t>Montaža i spajanje ručnih javljača i tipkala.</t>
  </si>
  <si>
    <r>
      <t xml:space="preserve">Prvo ispitivanje sustava od strane ovlaštene tvrtke
</t>
    </r>
    <r>
      <rPr>
        <sz val="10"/>
        <rFont val="Calibri"/>
        <family val="2"/>
        <scheme val="minor"/>
      </rPr>
      <t>- uključuje izdavanje uvjerenja o ispravnosti sustava i zapisnika o prvom funkcionalnom ispitivanju sustava</t>
    </r>
  </si>
  <si>
    <t>Izrada projekta izvedenog stanja sustava kojeg ovjerava ovlašteni inženjer elektrotehnike.</t>
  </si>
  <si>
    <t>Obuka korisnika za rukovanje sustavom odimljavanja.</t>
  </si>
  <si>
    <t>Primopredaja sustava investitoru - uključuje primopredaju dokumentacije izvedenog stanja, uvjerenja o ispravnosti sustava i zapisnika o funkcionalnom ispitivanju, zapisnika o izvršenoj obuci korisnika i korisničkih uputa za rukovanje centralom.</t>
  </si>
  <si>
    <r>
      <t xml:space="preserve">Dobava i polaganje negorivog vatrodojavnog kabela pretežno stropom u predviđene PK kanale ili instalacijske PNT cijevi
</t>
    </r>
    <r>
      <rPr>
        <sz val="10"/>
        <rFont val="Calibri"/>
        <family val="2"/>
        <scheme val="minor"/>
      </rPr>
      <t>Uključiv sav potreban instalacijski materijal
- aluminijski oklop, poboljšanih svojstava za slučaj požara,
crvene boje
TIP: JEB-H(St)H (E30) 4x2x0,8mm2 ili jednakovrijedno.</t>
    </r>
  </si>
  <si>
    <r>
      <t xml:space="preserve">Dobava i polaganje negorivog napajačkog kabela pretežno stropom u predviđene PK kanale ili instalacijske PNT cijevi.
</t>
    </r>
    <r>
      <rPr>
        <sz val="10"/>
        <rFont val="Calibri"/>
        <family val="2"/>
        <scheme val="minor"/>
      </rPr>
      <t>Uljučivo sav potreban instalacijski materijal
- aluminijski oklop, poboljšanih svojstava za slučaj požara, s
očuvanom el. funkcionalnošću između 30 i 90 min
TIP: NHXH (E30) 3x2,5mm2 ili jednakovrijedno.</t>
    </r>
  </si>
  <si>
    <t>Dobava i montaža CS cijevi fi 20mm za uvlačenje instalacija, sve komplet sa svim potrebnim montažnim priborom i dijelovima.</t>
  </si>
  <si>
    <r>
      <t xml:space="preserve">Izrada protupožarnog brtvljenja_x005F_x000D_
</t>
    </r>
    <r>
      <rPr>
        <sz val="10"/>
        <rFont val="Calibri"/>
        <family val="2"/>
        <scheme val="minor"/>
      </rPr>
      <t>- na probojima između požarnih sektora sa atestiranim negorivim materijalima odgovarajuće klase vatrootpornosti i označavanje mjesta protupožarnog brtvljenja</t>
    </r>
  </si>
  <si>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</si>
  <si>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</si>
  <si>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</si>
  <si>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</si>
  <si>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</si>
  <si>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</si>
  <si>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</si>
  <si>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</si>
  <si>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</si>
  <si>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</si>
  <si>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</si>
  <si>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</si>
  <si>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</si>
  <si>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</si>
  <si>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</si>
  <si>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</si>
  <si>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</si>
  <si>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</si>
  <si>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</si>
  <si>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</si>
  <si>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</si>
  <si>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</si>
  <si>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</si>
  <si>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r>
      <t xml:space="preserve">Nabavka, dostava i polaganje kabla NYY-J 3x0,73 mm² povezivanjem na razdjelnike etaža za potrebe ostvarivanja jedinstvenog isklopa svih razdjelnika.
</t>
    </r>
    <r>
      <rPr>
        <sz val="10"/>
        <color theme="1"/>
        <rFont val="Calibri"/>
        <family val="2"/>
        <scheme val="minor"/>
      </rPr>
      <t>Kabel se polaže u kanalice i kroz otvore u betonskim konstrukcijama. U slučaju prolaska kroz požarne zone prolaze je potrebno brtviti protu požarnim brtvilom. Duljina trase kabela je oko 70 m. U stavku uračunati kanalice s montažnim materijalom, izradu prodora kroz zidove i podove objekta (oko 8 bušenja prodora) i sredstvo za brtvljenje.</t>
    </r>
  </si>
  <si>
    <t>.124</t>
  </si>
  <si>
    <t>.125</t>
  </si>
  <si>
    <t>.126</t>
  </si>
  <si>
    <t>.127</t>
  </si>
  <si>
    <t>Demontaža i montaža ulaznih vrata u prostorijama predviđenim za sanaciju.
Stavka obuhvaća demontažu vrata i dovratnika iz prostorija predavaonica u podrumu i prizemlju predviđenih za sanaciju (prilozi F3.1, F3.2 i F3.3, sektori S1, P1, P7 i K4), pažljivo skladištenje istih u prostor prema dogovoru s investitorom te montaža isith nakon završetka sanacijskih radova. U cijenu stavke uključiti sav rad, materijal, alate i strojeve potrebne za potpuno dovršenje stavke. 
Obračun po komadu provedenih radova demontaže i montaže ulaznih vrata.</t>
  </si>
  <si>
    <t>Dovoz, montaža i demontaža podupirača za ugradnju karbonskih lamela.
Stavka obuhvaća nabavu, dopremu, montažu, demontažu te sva eventualna premještanja podupirača i pripadajućih drvenih podmetača na etaži podruma, prizemlja i kata za potrebe ojačanja postojeće stropne konstrukcije. Podupirače postaviti prema nacrtu podupiranja (Prilog F4.1, F4.2, F4.3) na mjestima predviđenim za sanaciju (prilozi F3.1, F3.2 i F3.3, sektori S1, P1, K1). U cijenu stavke uključiti sav rad, materijal, potrebnu radnu skelu, alate i strojeve potrebne za potpuno dovršenje stavke.
Obračun po m2 podupirane površine.</t>
  </si>
  <si>
    <t>Demontaža ulaznih vrata u prostorijama predviđenim za sanaciju.
Stavka obuhvaća demontažu vrata i dovratnika iz prostorija predavaonica u podrumu i prizemlju predviđenih za sanaciju (prilozi F3.1, F3.2 i F3.3, sektori S1, P1, P7 i K4) te pažljivo skladištenje istih u prostor prema dogovoru s investitorom. U cijenu stavke uključiti sav rad, materijal, alate i strojeve potrebne za potpuno dovršenje stavke. 
Obračun po komadu provedenih radova demontaže i montaže ulaznih vrata.</t>
  </si>
  <si>
    <t>Žbukanje svih unutarnjih površina.
Ponovno ručno žbukanje otvorenih površina (prilozi F3.1, F3.2 i F3.3,  prilozi F2.1, F2.2, F2.3, F2.4, F2.5, F2.6, K2.1, K2.2, K2.3, K2.4) paropropusnom bezcementnom izravnavajućom žbukom na bazi prirodnog hidrauličnog vapna i eco pucolana kako bi se postigla završna kvaliteta obrade zidova (tipa Rofix Renoplusom ili jednakovrijedno). Nenosive stare žbuke ili premaze je potrebno predhodno ukloniti. Podloga treba biti dobro očišćena i suha. Žbukanje se izvodi do stadija grube žbuke. U cijenu uključena izvedba cementnog šprica, sav potreban materijal, radna skela i rad za izvedbu grube i fine žbuke.
Obračun po m² izvedene žbuke.</t>
  </si>
  <si>
    <t>Soboslikarsko-ličilački radovi.
Obrada svih unutarnjih površina zidova (žbuka ili  gipskartonske ploče) gletanjem i disperzivnim bojama za unutarnja bojanja (prilozi F3.1, F3.2 i F3.3, sektori S1, P1, K1, prilozi F2.1, F2.2, F2.3, F2.4, F2.5, F2.6, K2.1, K2.2, K2.3, K2.4). U cijenu po m2 površine ulazi čišćenje podloge od prašine i nečistoća, dvokratno gletanje i brušenje površina - 50% površine i trokratno bojanje disperzivnom bojom u tonu i boji po izboru investitora. U cijenu stavke uključiti sav rad, materijal, potrebnu radnu skelu, alate i strojeve potrebne za potpuno dovršenje stavke.
Obračun po m2 obojane površine.</t>
  </si>
  <si>
    <r>
      <t xml:space="preserve">Dovoz, montaža i demontaža podupirača za ugradnju karbonskih lamela.
</t>
    </r>
    <r>
      <rPr>
        <sz val="10"/>
        <rFont val="Calibri"/>
        <family val="2"/>
        <scheme val="minor"/>
      </rPr>
      <t>Stavka obuhvaća nabavu, dopremu, montažu, demontažu te sva eventualna premještanja podupirača i pripadajućih drvenih podmetača na etaži podruma, prizemlja i kata za potrebe ojačanja postojeće stropne konstrukcije. Podupirače postaviti prema nacrtu podupiranja (Prilog F4.1, F4.2, F4.3) na mjestima predviđenim za sanaciju (prilozi F3.1, F3.2 i F3.3, sektori S1, P1, K1). U cijenu stavke uključiti sav rad, materijal, potrebnu radnu skelu, alate i strojeve potrebne za potpuno dovršenje stavke.
Obračun po m2 podupirane površine.</t>
    </r>
  </si>
  <si>
    <r>
      <t xml:space="preserve">Dorada razdjelnika kata.
</t>
    </r>
    <r>
      <rPr>
        <sz val="10"/>
        <color theme="1"/>
        <rFont val="Calibri"/>
        <family val="2"/>
        <scheme val="minor"/>
      </rPr>
      <t>Stavka obuhvaća doradu razdjelnika kata i usklađenje s novom jednopolnom shemom uključujući:
- 2 x RCD 0,03 mA,
- 2 x RCD 0,3 mA,
- 1 x glavni prekidač razdjelnika
- 1 x isklopni element prekidača za daljinski isklop 
- 1 x crveno gljivasto tipkalo za isklop u slučaju nužde s ugradnjom na vrata razdjelnika i popratnim ožićenjem
- 4 x set sabirnica za nulte vodiče (20 vijaka svaki)
- 1 x set sabirnica za PE vodič
- džep za sheme veličine A4 za vrata razdjelnika
- ostali sitni montažni materijal, pribor i vodiči
- označiti elemente prema oznakama u jednopolnoj shemi
- nove jednopolne sheme izvedenog stanja
- naljepnice vrste zaštite i oznaka razdjelnika. U cijenu stavke uključiti sav rad, materijal, alate i strojeve potrebne za potpuno dovršenje stavke.
Obračun po kompletu dorađene ploče razdjelnika kata.</t>
    </r>
  </si>
  <si>
    <r>
      <t xml:space="preserve"> Dobava centralne softverske aplikacije za nadzor nad sustavom za dojavu požara.
</t>
    </r>
    <r>
      <rPr>
        <sz val="10"/>
        <color theme="1"/>
        <rFont val="Calibri"/>
        <family val="2"/>
        <scheme val="minor"/>
      </rPr>
      <t>Dobava i isporuka centralne softverske aplikacije za nadzor nad sustavom za dojavu požara, potrebne licence za pojedine elemente sustava sa slijedećim karakteristikama:
- programski paket za grafički prikaz i upravljanje sustavima dojave požara
- integracija sa video nadzornim sustavom
- integracija sa sustavom protuprovale
- grafičke mape štićenog prostora (neograničen broj mapa)
- grafički prikaz stanja alarmnog sustava i interaktivni simboli elemenata alarmnog sustava
- pretraživanje događaja iz baze podataka
- neograničeni broj operatera s različitim pravima
- u slučaju prekida komunikacije sa pojedinim sustavom, servis treba automatski obavijestiti operatera putem klijentske aplikacije te pokušavati uspostaviti vezu sa dotičnim sustavom
- mogućnost povezivanja svakog tlocrtnog prikaza sa odgovarajućim prikazom kamera na drugom ekranu</t>
    </r>
  </si>
  <si>
    <t>- aplikacija mora imati mogućnost, da u slučaju određene alarmne situacije, prikaže tlocrtni prikaz dijela objekta u kojem je detektiran alarm s promijenjenom bojom aktivnog simbola koji je u alarmu te da operater može trenutno dobiti video sliku s alarmne pozicije na pomoćnom monitoru. Svi alarmni događaji moraju biti prikazani u obliku alarmne liste na kojoj će biti navedeni svi neobrađeni alarmni događaji (u odgovarajućim bojama koje određuju pojedini događaj)- ikone trebaju imati slijedeće funkcionalnosti:
- mogućnost prikaza statusa (uključeno/isključeno, otvoreno/zatvoreno, …) različitim simbolima/bojama
- mogućnost prikaza alarma različitim bojama
- mogućnost upravljanja pripadajućim sustavom (npr. za protuprovalni sustav uključenje/isključenje zaštite, za video nadzorni sustav upravljanje relejima na kameri, …)
- mogućnost promjene prikaza kamera na drugom monitoru</t>
  </si>
  <si>
    <t xml:space="preserve">Čišćenje fasade.
Stavka obuhvaća temeljito pranje svih površina fasade visokotlačnim čistaćem (toplom vodom pod pritiskom, cca do 60 °C i 60 bara) te uklanjanje prašine, trošnih dijelova, masnoća i svih nečistoća sa ploha predviđenih za bojanje. Po završenom pranju podloga se treba biti čista bez tvari koje razdvajaju. Nakon čišćenja ostaviti dovoljno vremena da se plohe osuše. U cijenu stavke uključiti sav rad, materijal, alate i strojeve potrebne za potpuno dovršenje stavke.
Obračun je po m2. </t>
  </si>
  <si>
    <t>Ugradnja karbonskih užadi.
Stavka obuhvaća bušenje rupa, nabavu i ugradnju sustava ojačanja s karbonskim užadima (tipa Mapei MapeWrap C FIOCCO ili jednakovrijedno) (prilozi F3.1, F3.2 i F3.3, sektori S1, P1, K1 i prilozi F5.1, F5.2, F5.3). Bušenje rupa izvodi se pod kutem od 45° na spojevima zida predviđenog za sanaciju sa međukatnim konstrukcijama i susjednim zidovima, promjera 10 mm i dubine 20 cm, na razmaku od 1,00 m. Po završetku bušenja, rupe se ispuhuju komprimiranim zrakom. Dio užadi koja se ugrađuje u bušotinu impregnirati tekućom epoksidnom smolom (tipa Mapei MapeWrap 21 ili jednakovrijedno) te posipati kvarcnim pijeskom, a u pripremljene bušotine ugraditi sredstvo za sidrenje (tipa Mapei MapeFix EP 470 Seismic ili jednakovrijedno). Raspored ugradnje se nalazi u prilozima F5.1, F5.2 i F5.3, a opis i način ugradnje prema specifikacijama proizvođača. U cijenu stavke uključiti sav rad, materijal, potrebnu radnu skelu, alate i strojeve potrebne za potpuno dovršenje stavke. 
Obračun je po komadu potrebnih užadi.</t>
  </si>
  <si>
    <t>Ugradnja karbonskih mreža.
Stavka obuhvaća nabavu i ugradnju sustava ojačanja s mrežom od karbonskih vlakana vlačne nosivosti ≥ 260 kN/m (tipa Mapei Mapegrid C200 ili jednakovrijedeno) (prilozi F3.1, F3.2 i F3.3, sektori S1, P1, P6, K1 i prilozi F2.1, F2.2 i prilozi F5.1, F5.2, F5.3). Duktilni dvokomponentni mikroarmirani mort nanosi se ravnomjerno na sve pripremljene površine u debljini 5 do 6 mm preko pukotine u najmanjoj širini od 50 cm odnosno punoplošno za sanaciju kompletne površine zida. Dok je mort još svjež, tkanina od karbonskih vlakana jednolikim se pritiskom utiskuje u njega. Važno je osigurati minimalni preklop tkanina od najmanje 25 cm u uzdužnom smjeru i najmanje 10 cm u poprečnom smjeru. Dok je prvi sloj morta još u svježem stanju, nanosi se drugi sloj debljine 5 do 6 mm. Nakon što mort očvrsne, zagladiti površinu mortom za zaglađivanje. Raspored ugradnje se nalazi u prilozima F5.1, F5.2 i F5.3, a opis i način ugradnje prema specifikacijama proizvođača.. U cijenu stavke uključiti sav rad, materijal, potrebnu radnu skelu, alate i strojeve potrebne za potpuno dovršenje stavke. 
Obračun je po m2 površine.</t>
  </si>
  <si>
    <r>
      <rPr>
        <b/>
        <sz val="10"/>
        <rFont val="Calibri"/>
        <family val="2"/>
        <scheme val="minor"/>
      </rPr>
      <t>Nazubljivanje betona oko otvora hidrodemoliranjem u zaštitnom sloju.</t>
    </r>
    <r>
      <rPr>
        <sz val="10"/>
        <rFont val="Calibri"/>
        <family val="2"/>
        <scheme val="minor"/>
      </rPr>
      <t xml:space="preserve">
Stavka obuhvaća razbijanje betona u zaštitnom sloju do armature oko otvora predviđenih za ispunu betonom (prilog F6.1 i F6.2). U cijenu stavke uključiti sav rad, materijal, potrebnu radnu skelu, alate i strojeve potrebne za potpuno dovršenje stavke.
Obračun je po kilogramu ugrađene armature.</t>
    </r>
  </si>
  <si>
    <r>
      <rPr>
        <b/>
        <sz val="10"/>
        <rFont val="Calibri"/>
        <family val="2"/>
        <scheme val="minor"/>
      </rPr>
      <t>Postavljanje rebraste armature.</t>
    </r>
    <r>
      <rPr>
        <sz val="10"/>
        <rFont val="Calibri"/>
        <family val="2"/>
        <scheme val="minor"/>
      </rPr>
      <t xml:space="preserve">
Stavka obuhvaća dobavu, sječenje, savijanje, postavljanje i vezivanje rebraste armature B500B u novi armiranobetonski nosivi zid, sve prema nacrtu armature (prilog F6.2). Cijena stavke uključuje nabavu i prijevoz rebraste armature; razvrstavanje i čišćenje, sječenje i savijanje; prijevoz i prijenos; postavljanje, podlaganje i vezanje te eventualno zavarivanje. U cijenu stavke uključiti sav rad, materijal, potrebnu radnu skelu, alate i strojeve potrebne za potpuno dovršenje stavke.
Obračun je po kilogramu ugrađene armature.</t>
    </r>
  </si>
  <si>
    <r>
      <rPr>
        <b/>
        <sz val="10"/>
        <rFont val="Calibri"/>
        <family val="2"/>
        <scheme val="minor"/>
      </rPr>
      <t>Demontaža prozora na mjestima predviđenim za sanaciju.</t>
    </r>
    <r>
      <rPr>
        <sz val="10"/>
        <rFont val="Calibri"/>
        <family val="2"/>
        <scheme val="minor"/>
      </rPr>
      <t xml:space="preserve">
Demontaža prozora u hodniku i prostorijama predavaonica predviđenim za sanaciju (prilozi F3.1, F3.2 i F3.3, sektori S1, P1 i K1). Stavka obuhvaća demontažu prozora, doprozornika, prozorskih klupčica i metalnih rešetki te pažljivo skladištenje istih u prostor prema dogovoru s investitorom. U cijenu stavke uključiti sav rad, materijal, potrebnu radnu skelu, alate i strojeve potrebne za potpuno dovršenje stavke.
Obračun po komadu demontiranog prozora.</t>
    </r>
  </si>
  <si>
    <r>
      <rPr>
        <b/>
        <sz val="10"/>
        <rFont val="Calibri"/>
        <family val="2"/>
        <scheme val="minor"/>
      </rPr>
      <t>Izrada zidova od blokova pjenobetona.</t>
    </r>
    <r>
      <rPr>
        <sz val="10"/>
        <rFont val="Calibri"/>
        <family val="2"/>
        <scheme val="minor"/>
      </rPr>
      <t xml:space="preserve">
Stavka uključuje izradu zidova od blokova pjenobetona, debljine 10 i 15cm, zahtjevane požarne otpornosti REI90 (prilozi F3.1, F3.2 i F3.3, sektori S1, P1, K1). Stavka obuhvaća dobavu i ugradnju blokova i vapneno-cementnoga morta M5, kao i spravljanje vapneno-cementnoga morta. U cijenu stavke uključiti sav rad, materijal, potrebnu radnu skelu, alate i strojeve potrebne za potpuno dovršenje stavke.
Obračun je po m2 zida. </t>
    </r>
  </si>
  <si>
    <r>
      <t xml:space="preserve">Izrada fasade na novim zidovima.
</t>
    </r>
    <r>
      <rPr>
        <sz val="10"/>
        <rFont val="Calibri"/>
        <family val="2"/>
        <scheme val="minor"/>
      </rPr>
      <t xml:space="preserve">Stavka obuhvaća dobavu i ugradnju materijala za izradu fasade na mjestima novog nosivog zida (prilozi F3.1, F3.2 i F3.3, sektori S1, P1, K1). Slojevi fasade uključuju toplinsku izolaciju (EPS ploče) debljine 6 cm, opeku normalnog formata dimenzija 25x12x6,5 cm slagane u jednom sloju te završnu žbuku i bojanje. Stavka obuhvaća dobavu i ugradnju sloja toplinske izolacije, opečnih blokova, završnih slojeva fasade i vapneno-cementnoga morta M5, kao i spravljanje vapneno-cementnoga morta. U cijenu stavke uključiti sav rad, materijal, alate i strojeve potrebne za potpuno dovršenje stavke.
Obračun je po m2 zida. </t>
    </r>
  </si>
  <si>
    <r>
      <t xml:space="preserve">Postava parketa
</t>
    </r>
    <r>
      <rPr>
        <sz val="10"/>
        <rFont val="Calibri"/>
        <family val="2"/>
        <scheme val="minor"/>
      </rPr>
      <t>Postava parketa lijepljenjem,postava  folije i postava kutnih letvica i lakiranje (prilozi F3.1, F3.2 i F3.3, sektori S1, P1, K1). U cijenu stavke uključiti sav rad, nabavu parketa, materijal, alate i strojeve potrebne za potpuno dovršenje stavke. 
Obračun je po m2 površine.</t>
    </r>
  </si>
  <si>
    <r>
      <rPr>
        <b/>
        <sz val="10"/>
        <rFont val="Calibri"/>
        <family val="2"/>
        <scheme val="minor"/>
      </rPr>
      <t>Soboslikarsko-ličilački radovi.</t>
    </r>
    <r>
      <rPr>
        <sz val="10"/>
        <rFont val="Calibri"/>
        <family val="2"/>
        <scheme val="minor"/>
      </rPr>
      <t xml:space="preserve">
Obrada svih unutarnjih površina zidova (žbuka ili  gipskartonske ploče) gletanjem i disperzivnim bojama za unutarnja bojanja (prilozi F3.1, F3.2 i F3.3, sektori S1, P1, K1, prilozi F2.1, F2.2, F2.3, F2.4, F2.5, F2.6, K2.1, K2.2, K2.3, K2.4). U cijenu po m2 površine ulazi čišćenje podloge od prašine i nečistoća, dvokratno gletanje i brušenje površina - 50% površine i trokratno bojanje disperzivnom bojom u tonu i boji po izboru investitora. U cijenu stavke uključiti sav rad, materijal, potrebnu radnu skelu, alate i strojeve potrebne za potpuno dovršenje stavke.
Obračun po m2 obojane površine.</t>
    </r>
  </si>
  <si>
    <r>
      <rPr>
        <b/>
        <sz val="10"/>
        <rFont val="Calibri"/>
        <family val="2"/>
        <scheme val="minor"/>
      </rPr>
      <t>Demontaža prozora na mjestima predviđenim za sanaciju.</t>
    </r>
    <r>
      <rPr>
        <sz val="10"/>
        <rFont val="Calibri"/>
        <family val="2"/>
        <scheme val="minor"/>
      </rPr>
      <t xml:space="preserve">
Demontaža prozora u hodniku i prostorijama predavaonica predviđenim za sanaciju (prilozi F3.1, F3.2 i F3.3, sektori S1, P1, K1). Stavka obuhvaća demontažu prozora, doprozornika, prozorskih klupčica i metalnih rešetki te pažljivo skladištenje istih u prostor prema dogovoru s investitorom. U cijenu stavke uključiti sav rad, materijal, potrebnu radnu skelu, alate i strojeve potrebne za potpuno dovršenje stavke.
Obračun po komadu demontiranog prozora.</t>
    </r>
  </si>
  <si>
    <r>
      <rPr>
        <b/>
        <sz val="10"/>
        <rFont val="Calibri"/>
        <family val="2"/>
        <scheme val="minor"/>
      </rPr>
      <t>Strojno uklanjanje žbuke unutarnjih površina.</t>
    </r>
    <r>
      <rPr>
        <sz val="10"/>
        <rFont val="Calibri"/>
        <family val="2"/>
        <scheme val="minor"/>
      </rPr>
      <t xml:space="preserve">
Žbuka se u potpunosti uklanja s površine zida lakim ručnim alatima pazeći pritom da se ne oštete elementi opeke i sljubnice ili armirano-betonskog zida (prilozi F2.1, F2.2, F2.3, F2.4, F2.5, F2.6, K2.1, K2.2, K2.3, K2.4). Prilikom uklanjanja žbuke, obuhvatiti površinu od 50 cm oko svake pukotine predviđene za sanaciju. Površinu zida treba detaljno očistiti žičanim četkama te ispuhati komprimiranim zrakom. Potom treba detaljno pregledati zid radi postojanja eventualnih oštećenja odnosno pukotina. U cijenu treba uračunati sav rad, materijal, potrebnu radnu skelu, alate i strojeve potrebne za potpuno dovršenje stavke.
Obračun je po m2 uklonjene žbuke i očišćene površine ziđa.</t>
    </r>
  </si>
  <si>
    <r>
      <rPr>
        <b/>
        <sz val="10"/>
        <rFont val="Calibri"/>
        <family val="2"/>
        <scheme val="minor"/>
      </rPr>
      <t>Priprema podloge prije lijepljenja karbonskih mreža.</t>
    </r>
    <r>
      <rPr>
        <sz val="10"/>
        <rFont val="Calibri"/>
        <family val="2"/>
        <scheme val="minor"/>
      </rPr>
      <t xml:space="preserve">
Stavka obuhvaća pripremu podloga za postavljanje karbonskih mreža (prilog F3.2, sektor P6, i prilozi F2.1, F2.2). Podloga mora biti pripremljena primjerenim alatima (uklanjanje provesti lakim ručnim i/ili pneumatskim alatima). Podloga mora biti čista (vlaga u podlozi mora biti manja 6%) bez masti i prašine i odvajajućih dijelova. Ako je podloga neravna treba je izravnati reparaturnim polimercementnim mortom. U cijenu treba uračunati materijal, potrebnu radnu skelu, alate i strojeve potrebne za potpuno dovršenje stavke.
Obračun je po m2 pripremljene podloge.</t>
    </r>
  </si>
  <si>
    <r>
      <rPr>
        <b/>
        <sz val="10"/>
        <rFont val="Calibri"/>
        <family val="2"/>
        <scheme val="minor"/>
      </rPr>
      <t>Soboslikarsko-ličilački radovi.</t>
    </r>
    <r>
      <rPr>
        <sz val="10"/>
        <rFont val="Calibri"/>
        <family val="2"/>
        <scheme val="minor"/>
      </rPr>
      <t xml:space="preserve">
Obrada svih unutarnjih površina zidova (žbuka ili  gipskartonske ploče) gletanjem i disperzivnim bojama za unutarnja bojanja (prilozi F2.1, F2.2, F2.3, F2.4, F2.5, F2.6, K2.1, K2.2, K2.3, K2.4). U cijenu po m2 površine ulazi čišćenje podloge od prašine i nečistoća, dvokratno gletanje i brušenje površina - 50% površine i trokratno bojanje disperzivnom bojom u tonu i boji po izboru investitora. U cijenu stavke uključiti sav rad, materijal, potrebnu radnu skelu, alate i strojeve potrebne za potpuno dovršenje stavke.
Obračun po m2 obojane površine.</t>
    </r>
  </si>
  <si>
    <r>
      <rPr>
        <b/>
        <sz val="10"/>
        <rFont val="Calibri"/>
        <family val="2"/>
        <scheme val="minor"/>
      </rPr>
      <t>Strojno uklanjanje žbuke unutarnjih površina.</t>
    </r>
    <r>
      <rPr>
        <sz val="10"/>
        <rFont val="Calibri"/>
        <family val="2"/>
        <scheme val="minor"/>
      </rPr>
      <t xml:space="preserve">
Žbuka se u potpunosti uklanja s površine zida lakim ručnim alatima pazeći pritom da se ne oštete elementi opeke i sljubnice ili armirano-betonskog zida (prilozi F3.1, F3.2 i F3.3, sektori S1, P1, K1). Prilikom uklanjanja žbuke, obuhvatiti površinu od 50 cm oko svake pukotine predviđene za sanaciju. Površinu zida treba detaljno očistiti žičanim četkama te ispuhati komprimiranim zrakom. Potom treba detaljno pregledati zid radi postojanja eventualnih oštećenja odnosno pukotina. U cijenu treba uračunati sav rad, materijal, potrebnu radnu skelu, alate i strojeve potrebne za potpuno dovršenje stavke.
Obračun je po m2 uklonjene žbuke i očišćene površine ziđa.</t>
    </r>
  </si>
  <si>
    <r>
      <rPr>
        <b/>
        <sz val="10"/>
        <rFont val="Calibri"/>
        <family val="2"/>
        <scheme val="minor"/>
      </rPr>
      <t>Priprema podloge prije lijepljenja karbonskih mreža.</t>
    </r>
    <r>
      <rPr>
        <sz val="10"/>
        <rFont val="Calibri"/>
        <family val="2"/>
        <scheme val="minor"/>
      </rPr>
      <t xml:space="preserve">
Stavka obuhvaća pripremu podloga za postavljanje karbonskih mreža (prilozi F3.1, F3.2 i F3.3, sektori S1, P1, K1 i prilozi F5.1, F5.2, F5.3). Podloga mora biti pripremljena primjerenim alatima (uklanjanje provesti lakim ručnim i/ili pneumatskim alatima). Podloga mora biti čista (vlaga u podlozi mora biti manja 6%) bez masti i prašine i odvajajućih dijelova. Ako je podloga neravna treba je izravnati reparaturnim polimercementnim mortom. U cijenu treba uračunati materijal, potrebnu radnu skelu, alate i strojeve potrebne za potpuno dovršenje stavke.
Obračun je po m2 pripremljene podloge.</t>
    </r>
  </si>
  <si>
    <r>
      <rPr>
        <b/>
        <sz val="10"/>
        <rFont val="Calibri"/>
        <family val="2"/>
        <scheme val="minor"/>
      </rPr>
      <t>Postavljanje rebraste armature.</t>
    </r>
    <r>
      <rPr>
        <sz val="10"/>
        <rFont val="Calibri"/>
        <family val="2"/>
        <scheme val="minor"/>
      </rPr>
      <t xml:space="preserve">
Stavka obuhvaća dobavu, sječenje, savijanje, postavljanje i vezivanje rebraste armature B500B u novi armiranobetonski nosivi zid i armiranobetonsko stubište, sve prema nacrtu armature (prilozi F6.2). Cijena stavke uključuje nabavu i prijevoz rebraste armature; razvrstavanje i čišćenje, sječenje i savijanje; prijevoz i prijenos; postavljanje, podlaganje i vezanje te eventualno zavarivanje. U cijenu stavke uključiti sav rad, materijal, potrebnu radnu skelu, alate i strojeve potrebne za potpuno dovršenje stavke.
Obračun je po kilogramu ugrađene armature.</t>
    </r>
  </si>
  <si>
    <r>
      <rPr>
        <b/>
        <sz val="10"/>
        <rFont val="Calibri"/>
        <family val="2"/>
        <scheme val="minor"/>
      </rPr>
      <t>Soboslikarsko-ličilački radovi.</t>
    </r>
    <r>
      <rPr>
        <sz val="10"/>
        <rFont val="Calibri"/>
        <family val="2"/>
        <scheme val="minor"/>
      </rPr>
      <t xml:space="preserve">
Obrada svih unutarnjih površina zidova (žbuka ili  gipskartonske ploče) gletanjem i disperzivnim bojama za unutarnja bojanja (prilozi F3.1, F3.2 i F3.3, sektori S1, P1, K1). U cijenu po m2 površine ulazi čišćenje podloge od prašine i nečistoća, dvokratno gletanje i brušenje površina - 50% površine i trokratno bojanje disperzivnom bojom u tonu i boji po izboru investitora. U cijenu stavke uključiti sav rad, materijal, potrebnu radnu skelu, alate i strojeve potrebne za potpuno dovršenje stavke.
Obračun po m2 obojane površine.</t>
    </r>
  </si>
  <si>
    <r>
      <rPr>
        <b/>
        <sz val="10"/>
        <rFont val="Calibri"/>
        <family val="2"/>
        <scheme val="minor"/>
      </rPr>
      <t>Demontaža ulaznih vrata u prostorijama predviđenim za sanaciju.</t>
    </r>
    <r>
      <rPr>
        <sz val="10"/>
        <rFont val="Calibri"/>
        <family val="2"/>
        <scheme val="minor"/>
      </rPr>
      <t xml:space="preserve">
Stavka obuhvaća demontažu vrata i dovratnika iz prostorija predavaonica u podrumu i prizemlju predviđenih za sanaciju (prilozi F3.1, F3.2, F3.3, F3.4, sektori S5, P7, P8, P9, P10, K4, K5, K6, K7) te pažljivo skladištenje istih u prostor prema dogovoru s investitorom. U cijenu stavke uključiti sav rad, materijal, alate i strojeve potrebne za potpuno dovršenje stavke. 
Obračun po komadu provedenih radova demontaže i montaže ulaznih vrata.</t>
    </r>
  </si>
  <si>
    <r>
      <rPr>
        <b/>
        <sz val="10"/>
        <rFont val="Calibri"/>
        <family val="2"/>
        <scheme val="minor"/>
      </rPr>
      <t>Demontaža prozora na mjestima predviđenim za sanaciju.</t>
    </r>
    <r>
      <rPr>
        <sz val="10"/>
        <rFont val="Calibri"/>
        <family val="2"/>
        <scheme val="minor"/>
      </rPr>
      <t xml:space="preserve">
Demontaža prozora u hodniku i prostorijama predavaonica predviđenim za sanaciju (prilozi F3.2, sektor P5). Stavka obuhvaća demontažu prozora, doprozornika, prozorskih klupčica i metalnih rešetki te pažljivo skladištenje istih u prostor prema dogovoru s investitorom. U cijenu stavke uključiti sav rad, materijal, potrebnu radnu skelu, alate i strojeve potrebne za potpuno dovršenje stavke.
Obračun po komadu demontiranog prozora.</t>
    </r>
  </si>
  <si>
    <r>
      <rPr>
        <b/>
        <sz val="10"/>
        <rFont val="Calibri"/>
        <family val="2"/>
        <scheme val="minor"/>
      </rPr>
      <t>Uklanjanje dijelova fasade.</t>
    </r>
    <r>
      <rPr>
        <sz val="10"/>
        <rFont val="Calibri"/>
        <family val="2"/>
        <scheme val="minor"/>
      </rPr>
      <t xml:space="preserve">
Svi slojevi fasade (žbuka, opeka, toplinska izolacija, d=18cm) se u potpunosti uklanjaju s površine zidova 20cm  oko prozora lakim ručnim alatima pazeći pritom da se ne oštete elementi opeke i sljubnice ili armirano-betonskog zida (prilog F3.2, sektor P5). Površinu zida treba detaljno očistiti žičanim četkama te ispuhati komprimiranim zrakom. U cijenu stavke uključiti sav rad, materijal, potrebnu radnu skelu, alate i strojeve potrebne za potpuno dovršenje stavke.
Obračun je po m2 uklonjene fasade i očišćene površine ziđa.</t>
    </r>
  </si>
  <si>
    <r>
      <rPr>
        <b/>
        <sz val="10"/>
        <rFont val="Calibri"/>
        <family val="2"/>
        <scheme val="minor"/>
      </rPr>
      <t>Postavljanje rebraste armature.</t>
    </r>
    <r>
      <rPr>
        <sz val="10"/>
        <rFont val="Calibri"/>
        <family val="2"/>
        <scheme val="minor"/>
      </rPr>
      <t xml:space="preserve">
Stavka obuhvaća dobavu, sječenje, savijanje, postavljanje i vezivanje rebraste armature B500B u i armiranobetonsko stubište, sve prema nacrtu armature (prilog F7.2). Cijena stavke uključuje nabavu i prijevoz rebraste armature; razvrstavanje i čišćenje, sječenje i savijanje; prijevoz i prijenos; postavljanje, podlaganje i vezanje te eventualno zavarivanje. U cijenu stavke uključiti sav rad, materijal, potrebnu radnu skelu, alate i strojeve potrebne za potpuno dovršenje stavke.
Obračun je po kilogramu ugrađene armature.</t>
    </r>
  </si>
  <si>
    <r>
      <rPr>
        <b/>
        <sz val="10"/>
        <rFont val="Calibri"/>
        <family val="2"/>
        <scheme val="minor"/>
      </rPr>
      <t>Izrada zidova od blokova pjenobetona.</t>
    </r>
    <r>
      <rPr>
        <sz val="10"/>
        <rFont val="Calibri"/>
        <family val="2"/>
        <scheme val="minor"/>
      </rPr>
      <t xml:space="preserve">
Stavka uključuje izradu zidova od blokova pjenobetona, debljine 10 i 15cm, zahtjevane požarne otpornosti REI90 (prilozi F3.1, F3.2 i F3.3, sektori S2, S3, S4, P2, P3, P4, K2 i K3). Stavka obuhvaća dobavu i ugradnju blokova i vapneno-cementnoga morta M5, kao i spravljanje vapneno-cementnoga morta. U cijenu stavke uključiti sav rad, materijal, potrebnu radnu skelu, alate i strojeve potrebne za potpuno dovršenje stavke.
Obračun je po m2 zida. </t>
    </r>
  </si>
  <si>
    <r>
      <t xml:space="preserve">Izrada fasade na novim zidovima.
</t>
    </r>
    <r>
      <rPr>
        <sz val="10"/>
        <rFont val="Calibri"/>
        <family val="2"/>
        <scheme val="minor"/>
      </rPr>
      <t xml:space="preserve">Stavka obuhvaća dobavu i ugradnju materijala za izradu fasade na mjestima novog nosivog zida (prilog F3.2, sektor P5). Slojevi fasade uključuju toplinsku izolaciju (EPS ploče) debljine 6 cm, opeku normalnog formata dimenzija 25x12x6,5 cm slagane u jednom sloju te završnu žbuku i bojanje. Stavka obuhvaća dobavu i ugradnju sloja toplinske izolacije, opečnih blokova, završnih slojeva fasade i vapneno-cementnoga morta M5, kao i spravljanje vapneno-cementnoga morta. U cijenu stavke uključiti sav rad, materijal, alate i strojeve potrebne za potpuno dovršenje stavke.
Obračun je po m2 zida. </t>
    </r>
  </si>
  <si>
    <t>T1+</t>
  </si>
  <si>
    <r>
      <t xml:space="preserve">Izrada dokumentacije izvedenog stanja.
</t>
    </r>
    <r>
      <rPr>
        <sz val="10"/>
        <color theme="1"/>
        <rFont val="Calibri"/>
        <family val="2"/>
        <scheme val="minor"/>
      </rPr>
      <t>Stavka obuhvaća izradu dokumentacije izvedenog stanja, te uputa o načinu rukovanja ugrađenom opremom u 4 primjerka.
Obračun po kompletu izvedenih radova.</t>
    </r>
  </si>
  <si>
    <t>Dobava i isporuka napajačkog kabela NHXH (E30) 3x2,5mm2</t>
  </si>
  <si>
    <r>
      <rPr>
        <b/>
        <sz val="10"/>
        <rFont val="Calibri"/>
        <family val="2"/>
        <scheme val="minor"/>
      </rPr>
      <t>Demontaža i montaža ulaznih vrata u prostorijama predviđenim za sanaciju.</t>
    </r>
    <r>
      <rPr>
        <sz val="10"/>
        <rFont val="Calibri"/>
        <family val="2"/>
        <scheme val="minor"/>
      </rPr>
      <t xml:space="preserve">
Stavka obuhvaća demontažu vrata i dovratnika iz prostorija predavaonica u podrumu i prizemlju predviđenih za sanaciju (prilozi F3.1, F3.2, sektori S1, P1), pažljivo skladištenje istih u prostor prema dogovoru s investitorom te montaža istih nakon završetka sanacijskih radova. U cijenu stavke uključiti sav rad, materijal, alate i strojeve potrebne za potpuno dovršenje stavke. 
Obračun po komadu provedenih radova demontaže i montaže ulaznih vrata.</t>
    </r>
  </si>
  <si>
    <r>
      <rPr>
        <b/>
        <sz val="10"/>
        <rFont val="Calibri"/>
        <family val="2"/>
        <scheme val="minor"/>
      </rPr>
      <t>Premještanje betonskih ploča na krovu.</t>
    </r>
    <r>
      <rPr>
        <sz val="10"/>
        <rFont val="Calibri"/>
        <family val="2"/>
        <scheme val="minor"/>
      </rPr>
      <t xml:space="preserve">
Stavka obuhvaća premještanje betonskih ploča na krovu iznad prostora predviđenog za sanaciju na preostalu površinu krova (prilogu F3.4), u svrhu rasterećivanja krovne ploče. Iste ploče po završetku svih radova vratiti na prethodne pozicije. U cijenu stavke uključiti sav rad, materijal, alate i strojeve potrebne za potpuno dovršenje stavke.
Obračun je po m2 premještenih betonskih ploča.</t>
    </r>
  </si>
  <si>
    <r>
      <t xml:space="preserve">Čišćenje fasade.
</t>
    </r>
    <r>
      <rPr>
        <sz val="10"/>
        <rFont val="Calibri"/>
        <family val="2"/>
        <scheme val="minor"/>
      </rPr>
      <t xml:space="preserve">Stavka obuhvaća temeljito pranje svih površina fasade visokotlačnim čistaćem (toplom vodom pod pritiskom, cca do 60 °C i 60 bara) te uklanjanje prašine, trošnih dijelova, masnoća i svih nečistoća sa ploha predviđenih za bojanje. . Nakon čišćenja ostaviti dovoljno vremena da se plohe osuše. U cijenu stavke uključiti sav rad, materijal, alate i strojeve potrebne za potpuno dovršenje stavke.
Obračun je po m2. </t>
    </r>
  </si>
  <si>
    <r>
      <rPr>
        <b/>
        <sz val="10"/>
        <rFont val="Calibri"/>
        <family val="2"/>
        <scheme val="minor"/>
      </rPr>
      <t>Izrada slojeva poda na armiranobetonskim stropnim i temeljnim pločama.</t>
    </r>
    <r>
      <rPr>
        <sz val="10"/>
        <rFont val="Calibri"/>
        <family val="2"/>
        <scheme val="minor"/>
      </rPr>
      <t xml:space="preserve">
Stavka uključuje izradu plivajućeg poda sa svim pripadajućim slojevima koji uključuju betonski estrih debljine 7,5 cm, PE foliju te toplinsku izolaciju (EPS ploče) debljine 2 cm i hidroizolaciju na temeljnoj ploči (prilozi F3.1, F3.2 i F3.3, sektori S1, P1, K1). U cijenu stavke uključiti sav rad, materijal, alate i strojeve potrebne za potpuno dovršenje stavke.
Obračun je po m2 poda. </t>
    </r>
  </si>
  <si>
    <r>
      <rPr>
        <b/>
        <sz val="10"/>
        <rFont val="Calibri"/>
        <family val="2"/>
        <scheme val="minor"/>
      </rPr>
      <t>Sanacija sljubnica mortom visoke duktilnosti do dubine potrebne za nastavak sanacijskih radova.</t>
    </r>
    <r>
      <rPr>
        <sz val="10"/>
        <rFont val="Calibri"/>
        <family val="2"/>
        <scheme val="minor"/>
      </rPr>
      <t xml:space="preserve">
Nevezane i trošne sljubnice treba ukloniti u dubini 3 do 4 cm (prilozi F2.1, F2.2, F2.3, F2.4, F2.5, F2.6, K2.1, K2.2, K2.3, K2.4). Na mjestima uklonjenoga postojećeg morta vrši se ugradnja morta za zapunjavanje sljubnica. Mort se nanosi između elemenata ziđa lopaticom, lagano pritiskujući kako bi se poboljšala prionjivost. Višak morta treba ukloniti odmah nakon ugradnje te, ako treba, očistiti sljubnice vlažnom spužvom ili četkom. U cijenu treba uračunati, materijal, potrebnu radnu skelu, alate i strojeve potrebne za potpuno dovršenje stavke.
Obračun je po m2 zapunjenih sljubnica.</t>
    </r>
  </si>
  <si>
    <r>
      <t>Montaža nove ploče razdjelnika podruma.</t>
    </r>
    <r>
      <rPr>
        <sz val="10"/>
        <color theme="1"/>
        <rFont val="Calibri"/>
        <family val="2"/>
        <scheme val="minor"/>
      </rPr>
      <t xml:space="preserve">
Stavka obuhvaća izradu, dostavu i montažu nove zamjenske montažne ploče razdjelnika podruma s ugrađenim (usklađen s karakteristikama i strujama postojećih osigurača):
- 1 x pocinčana montažna ploča dimenzija
        prilagođenih postojećem razdjelniku
- 54 x automatski osigurač,
- 2 x RCD 0,03 mA,
- 2 x RCD 0,3 mA,
- 1 x glavni prekidač razdjelnika
- 1 x isklopni element prekidača za daljinski isklop 
        prekidača za budući sustav vatrodojave
- 1 x transformator karakteristika kakav je u
        postojećem razdjelniku
- 1 x servisna šuko utočnica za ugradnju na DIN šinu
- 1 x sklopnik
- 1 x crveno gljivasto tipkalo za isklop u slučaju     nužde s ugradnjom na vrata razdjelnika i popratnim ožićenjem   </t>
    </r>
  </si>
  <si>
    <r>
      <t>Montaža nove ploče razdjelnika prizemlja.</t>
    </r>
    <r>
      <rPr>
        <sz val="10"/>
        <color theme="1"/>
        <rFont val="Calibri"/>
        <family val="2"/>
        <scheme val="minor"/>
      </rPr>
      <t xml:space="preserve">
Stavka obuhvaća izradu, dostavu i montažu nove zamjenske montažne ploče razdjelnika PRIZEMLJA s ugrađenim (usklađen s karakteristikama i strujama postojećih osigurača):
- 1 x pocinčana montažna ploča dimenzija
        Prilagođenih postojećem razdjelniku
- 68 x automatski osigurač,
- 2 x RCD 0,03 mA,
- 2 x RCD 0,3 mA,
- 1 x glavni prekidač razdjelnika
- 1 x isklopni element prekidača za daljinski isklop 
        prekidača za budući sustav vatrodojave
- 1 x servisna šuko utočnica za ugradnju na DIN šinu
- 1 x crveno gljivasto tipkalo za isklop u slučaju nužde s ugradnjom na vrata razdjelnika i popratnim ožićenjem</t>
    </r>
  </si>
  <si>
    <r>
      <t xml:space="preserve">Postavljanje radijatorske prigušnice.
</t>
    </r>
    <r>
      <rPr>
        <sz val="10"/>
        <color theme="1"/>
        <rFont val="Calibri"/>
        <family val="2"/>
        <scheme val="minor"/>
      </rPr>
      <t>Stavka obuhvaća nabavu i postavljanje radijatorske prigušnice, ravne sa mogućnošću zatvaranja. Tijelo prigušnice je otporno na koroziju i starenje,  dimenzija NO15-1/2". U cijenu stavke uključiti sav rad, materijal, alate i strojeve potrebne za potpuno dovršenje stavke.
Obračun po komadu postavljenih prigušnica.</t>
    </r>
  </si>
  <si>
    <r>
      <t xml:space="preserve">Uklanjanje slojeva poda.
</t>
    </r>
    <r>
      <rPr>
        <sz val="10"/>
        <color theme="1"/>
        <rFont val="Calibri"/>
        <family val="2"/>
        <scheme val="minor"/>
      </rPr>
      <t>Stavka obuhvaća uklanjanje slojeva poda za vođenje instalacija od prespoja prema izmještenom radijatoru. U cijenu stavke uključiti sav rad, materijal, alate i strojeve potrebne za potpuno dovršenje stavke.
Obračun po m' uklonjenih slojeva.</t>
    </r>
  </si>
  <si>
    <r>
      <t xml:space="preserve">Izvođenje prespoja.
</t>
    </r>
    <r>
      <rPr>
        <sz val="10"/>
        <color theme="1"/>
        <rFont val="Calibri"/>
        <family val="2"/>
        <scheme val="minor"/>
      </rPr>
      <t>Stavka obuhvaća izvođenje prespoja na postojeću instalaciju grijanja bakrenim fitinzima Ø15 i Ø18 za spajanje novih radijatora i za izmještanje postojećeg radijatora. U cijenu stavke uključiti sav rad, materijal, alate i strojeve potrebne za potpuno dovršenje stavke.
Obračun po kompletu izvedenih radova.</t>
    </r>
  </si>
  <si>
    <r>
      <t xml:space="preserve">Montaža postojećih radijatora.
</t>
    </r>
    <r>
      <rPr>
        <sz val="10"/>
        <color theme="1"/>
        <rFont val="Calibri"/>
        <family val="2"/>
        <scheme val="minor"/>
      </rPr>
      <t>Stavka obuhvaća montažu postojećih radijatora na isto mjesto nakon izvođenja građevinskih radova. U cijenu stavke uključiti sav rad, materijal, alate i strojeve potrebne za potpuno dovršenje stavke.
Obračun po kompletu izvedenih radova.</t>
    </r>
  </si>
  <si>
    <r>
      <t xml:space="preserve">Montaža opreme i materijala instalacije pogona do pune pogonske gotovosti.
</t>
    </r>
    <r>
      <rPr>
        <sz val="10"/>
        <color theme="1"/>
        <rFont val="Calibri"/>
        <family val="2"/>
        <scheme val="minor"/>
      </rPr>
      <t>Stavka obuhvaća montažu opreme i materijala instalacije pogona do pune pogonske gotovosti uključujući radove bušenja, štemanja, sanacije, tlačne probe, balansiranja mreže. Ispitivanje instalacije na čvrstoću i nepropusnost. Ispiranje cjevne instalacije, puštanje u rad od ovlaštenog servisera probni pogon, podešavanje radnih parametara, te eventualno ispravljanje uočenih nedostataka. U cijenu stavke uključiti sav rad, materijal, alate i strojeve potrebne za potpuno dovršenje stavke.
Obračun po kompletu izvedenih radova.</t>
    </r>
  </si>
  <si>
    <r>
      <t xml:space="preserve">Priprema dokumentacije strojarskih instalacija.
</t>
    </r>
    <r>
      <rPr>
        <sz val="10"/>
        <color theme="1"/>
        <rFont val="Calibri"/>
        <family val="2"/>
        <scheme val="minor"/>
      </rPr>
      <t>Stavka obuhvaća pripremu dokumentacije za primopredaju radova. 
Obračun po kompletu.</t>
    </r>
  </si>
  <si>
    <r>
      <t xml:space="preserve">Ugradnja protupožarnih jednokrilnih vrata širine 90 cm.
</t>
    </r>
    <r>
      <rPr>
        <sz val="10"/>
        <rFont val="Calibri"/>
        <family val="2"/>
        <scheme val="minor"/>
      </rPr>
      <t xml:space="preserve">Stavka obuhvaća dobavu i ugradnju unutrašnjih protupožarnih jednokrilnih vrata punog krila širine 90 cm i visine 210 cm (prilozi F3.2,  sektor P9). Protupožarna vrata moraju biti dimonepropusna i otporna na požar 30 minuta (EI2 30-C-Sm) te ugrađena od strane ovlaštenog izvođača, prema specifikacijama proizvođača. U cijenu stavke uključiti sav rad, materijal, potrebnu radnu skelu, alate i strojeve potrebne za potpuno dovršenje stavke.
Obračun je po komadu ugrađenih vrata. </t>
    </r>
  </si>
  <si>
    <r>
      <t xml:space="preserve">Ugradnja protupožarnih jednokrilnih vrata širine 90 cm.
</t>
    </r>
    <r>
      <rPr>
        <sz val="10"/>
        <rFont val="Calibri"/>
        <family val="2"/>
        <scheme val="minor"/>
      </rPr>
      <t xml:space="preserve">Stavka obuhvaća dobavu i ugradnju unutrašnjih protupožarnih jednokrilnih vrata punog krila širine 90 cm i visine 210 cm (prilog F3.1,  sektor S5). Protupožarna vrata moraju biti dimonepropusna i otporna na požar 60 minuta (EI2 60-C-Sm) te ugrađena od strane ovlaštenog izvođača, prema specifikacijama proizvođača. U cijenu stavke uključiti sav rad, materijal, potrebnu radnu skelu, alate i strojeve potrebne za potpuno dovršenje stavke.
Obračun je po komadu ugrađenih vrata. </t>
    </r>
  </si>
  <si>
    <r>
      <rPr>
        <b/>
        <sz val="10"/>
        <rFont val="Calibri"/>
        <family val="2"/>
        <scheme val="minor"/>
      </rPr>
      <t>Izrada slojeva ravnog krova.</t>
    </r>
    <r>
      <rPr>
        <sz val="10"/>
        <rFont val="Calibri"/>
        <family val="2"/>
        <scheme val="minor"/>
      </rPr>
      <t xml:space="preserve">
Nakon postavljanja krovnih kupola potrebno je uz otvore postaviti nove slojeve ravnog krova prema pravilima struke kako ne bi došlo do njihovog oštećenja te nepovoljnog utjecaja na nosivu konstrukciju zgrade. Stavka obuhvaća postavu polistirenskog filca, PVC folije, toplinske izolacije (XPS kaširan bitumenskom ljepenkom s uloškom staklenog voala - 8 cm) te parne brane. U cijenu treba uračunati, materijal, potrebnu radnu skelu, alate i strojeve potrebne za potpuno dovršenje stavke.
Obračun je po m2 površine.</t>
    </r>
  </si>
  <si>
    <r>
      <t xml:space="preserve">Izrada završnih slojevi gazišta stubišta i podesta.
</t>
    </r>
    <r>
      <rPr>
        <sz val="10"/>
        <rFont val="Calibri"/>
        <family val="2"/>
        <scheme val="minor"/>
      </rPr>
      <t>Stavka obuhvaća izradu slojeva gazišta požarnog stubišta (prilog F3.2, sektor P5) estriha, protuklizne keramike, kamena ili jednakovrijedno prema dogovoru sa investitorom. U cijenu uračunat sav rad, materijal, potrebnu radnu skelu, alate i strojeve potrebne za potpuno dovršenje stavke.
Obračun je po m2 izvedene površine.</t>
    </r>
  </si>
  <si>
    <r>
      <t xml:space="preserve">Ugradnja kutnih lajsni na spoju zidova i podova.
</t>
    </r>
    <r>
      <rPr>
        <sz val="10"/>
        <rFont val="Calibri"/>
        <family val="2"/>
        <scheme val="minor"/>
      </rPr>
      <t>Stavka obuhvaća dobavu i ugradnju lajsni prema dogovoru sa investitorom na spojevima zidova i podova na mjestima predviđenim za sanaciju (prilozi F3.1, F3.2 i F3.3, sektori S2, S3, S4, P2, P3, P4, K2, K3), U cijenu uključena nabava, sav rad, materijal, potrebnu radnu skelu, alate i strojeve potrebne za potpuno dovršenje stavke.
Obračun po m1 ugrađene lajsne.</t>
    </r>
  </si>
  <si>
    <r>
      <t xml:space="preserve">Ugradnja ograde stubišta.
</t>
    </r>
    <r>
      <rPr>
        <sz val="10"/>
        <rFont val="Calibri"/>
        <family val="2"/>
        <scheme val="minor"/>
      </rPr>
      <t>Stavka obuhvaća dobavu i ugradnju ograde požarnog stubišta (prilog F3.2, sektor P5), U cijenu uključena nabava, sav rad, materijal, potrebnu radnu skelu, alate i strojeve potrebne za potpuno dovršenje stavke.
Obračun po m1 ugrađene ograde.</t>
    </r>
  </si>
  <si>
    <r>
      <rPr>
        <b/>
        <sz val="10"/>
        <rFont val="Calibri"/>
        <family val="2"/>
        <scheme val="minor"/>
      </rPr>
      <t>Soboslikarsko-ličilački radovi.</t>
    </r>
    <r>
      <rPr>
        <sz val="10"/>
        <rFont val="Calibri"/>
        <family val="2"/>
        <scheme val="minor"/>
      </rPr>
      <t xml:space="preserve">
Obrada svih unutarnjih površina zidova (žbuka ili  gipskartonske ploče) gletanjem i disperzivnim bojama za unutarnja bojanja (prilozi F3.1, F3.2 i F3.3). U cijenu po m2 površine ulazi čišćenje podloge od prašine i nečistoća, dvokratno gletanje i brušenje površina - 50% površine i trokratno bojanje disperzivnom bojom u tonu i boji po izboru investitora. U cijenu stavke uključiti sav rad, materijal, potrebnu radnu skelu, alate i strojeve potrebne za potpuno dovršenje stavke.
Obračun po m2 obojane površine.</t>
    </r>
  </si>
  <si>
    <t>Br.
tr.</t>
  </si>
  <si>
    <t>Naziv troškovnika</t>
  </si>
  <si>
    <t>Troškovnik građevinskih radova</t>
  </si>
  <si>
    <t>Troškovnik svih radova</t>
  </si>
  <si>
    <t>Troškovnik građevinskih radova - Dovođenje građevine u stanje prije potresa</t>
  </si>
  <si>
    <t>T2.2.1</t>
  </si>
  <si>
    <t>T2.2.2</t>
  </si>
  <si>
    <t>T2.2.3</t>
  </si>
  <si>
    <t>T2.2.4</t>
  </si>
  <si>
    <t>T2.2.5</t>
  </si>
  <si>
    <t>Troškovnik građevinskih radova - Dodatna ojačanja konstrukcije i prilagodbe
suvremenim uvjetima korištenja i sigurnosti</t>
  </si>
  <si>
    <t>Troškovnik građevinskih radova - Dodatna ojačanja konstrukcije i prilagodbe
suvremenim uvjetima korištenja i sigurnosti
- Troškovnik radova konstrukcijske obnove</t>
  </si>
  <si>
    <t>Troškovnik građevinskih radova - Dodatna ojačanja konstrukcije i prilagodbe
suvremenim uvjetima korištenja i sigurnosti
- Troškovnik elektroinstalaterskih radova</t>
  </si>
  <si>
    <t>Troškovnik građevinskih radova - Dodatna ojačanja konstrukcije i prilagodbe
suvremenim uvjetima korištenja i sigurnosti
- Troškovnik strojarskih radova</t>
  </si>
  <si>
    <t>Troškovnik građevinskih radova - Dodatna ojačanja konstrukcije i prilagodbe
suvremenim uvjetima korištenja i sigurnosti
- Troškovnik radova vodovoda i odvodnje</t>
  </si>
  <si>
    <t>Troškovnik građevinskih radova - Dodatna ojačanja konstrukcije i prilagodbe
suvremenim uvjetima korištenja i sigurnosti
- Troškovnik radova za ZOP</t>
  </si>
  <si>
    <t>T3</t>
  </si>
  <si>
    <t xml:space="preserve">Objedinjeni troškovnik svih radova faze I. </t>
  </si>
  <si>
    <t>SVEUKUPNO:</t>
  </si>
  <si>
    <t>REKAPITULACIJA TROŠKOVNIKA</t>
  </si>
  <si>
    <t>Troškovnik T1.2 - Troškovnik građevinskih radova
za ZOP</t>
  </si>
  <si>
    <t>Troškovnik T1.1 - Troškovnik građevinskih radova bez ZOP</t>
  </si>
  <si>
    <t>T1.1</t>
  </si>
  <si>
    <t>Troškovnik građevinskih radova bez ZOP</t>
  </si>
  <si>
    <t>T1.2</t>
  </si>
  <si>
    <t>Troškovnik građevinskih radova za ZOP</t>
  </si>
  <si>
    <t>1) Troškovnici</t>
  </si>
  <si>
    <t>2) Grafički prilozi</t>
  </si>
  <si>
    <t>str.</t>
  </si>
  <si>
    <t xml:space="preserve">               T1.1 Troškovnik građevinskih radova bez ZOP</t>
  </si>
  <si>
    <t xml:space="preserve">               T1.2 Troškovnik građevinskih radova za ZOP</t>
  </si>
  <si>
    <t xml:space="preserve">               F1.1 Snimak postojećeg stanja – podrum</t>
  </si>
  <si>
    <t xml:space="preserve">               F1.2 Snimak postojećeg stanja - prizemlje</t>
  </si>
  <si>
    <t xml:space="preserve">               F1.3 Snimak postojećeg stanja - kat</t>
  </si>
  <si>
    <t xml:space="preserve">               F1.4 Snimak postojećeg stanja - krov</t>
  </si>
  <si>
    <t xml:space="preserve">               F1.5 Snimak postojećeg stanja – krovne vode</t>
  </si>
  <si>
    <t xml:space="preserve">               F1.6 Snimak postojećeg stanja – presjek A-A</t>
  </si>
  <si>
    <t xml:space="preserve">               F1.7 Snimak postojećeg stanja – pročelja istok i zapad</t>
  </si>
  <si>
    <t xml:space="preserve">               F1.8 Snimak postojećeg stanja – pročelja istok i zapad</t>
  </si>
  <si>
    <t xml:space="preserve">               F2.1 Pozicije oštećenja – podrum</t>
  </si>
  <si>
    <t xml:space="preserve">               F2.2 Pozicije oštećenja - prizemlje</t>
  </si>
  <si>
    <t xml:space="preserve">               F2.3 Pozicije oštećenja - kat</t>
  </si>
  <si>
    <t xml:space="preserve">               F2.4 Pozicije oštećenja - krov</t>
  </si>
  <si>
    <t xml:space="preserve">               F2.5 Pozicije oštećenja – pročelja istok i zapad</t>
  </si>
  <si>
    <t xml:space="preserve">               F2.6 Pozicije oštećenja – pročelja sjever i jug</t>
  </si>
  <si>
    <t xml:space="preserve">               F2.7 Sanacija oštećenih dijelova od istražnih ispitivanja - podrum</t>
  </si>
  <si>
    <t xml:space="preserve">               F3.1 Plan sektora zahvata – podrum</t>
  </si>
  <si>
    <t xml:space="preserve">               F3.3 Plan sektora zahvata - kat</t>
  </si>
  <si>
    <t xml:space="preserve">               F3.2 Plan sektora zahvata - prizemlje</t>
  </si>
  <si>
    <t xml:space="preserve">               F3.4 Plan sektora zahvata – krov</t>
  </si>
  <si>
    <t xml:space="preserve">               F4.1 Plan ojačanja stropne konstrukcije – podrum i prizemlje</t>
  </si>
  <si>
    <t xml:space="preserve">               F4.2 Plan ojačanja stropne konstrukcije – kat</t>
  </si>
  <si>
    <t xml:space="preserve">               F4.3 Plan ojačanja stropne konstrukcije – presjeci</t>
  </si>
  <si>
    <t xml:space="preserve">               F5.1 Plan ojačanja unutrašnjeg zida – podrum i prizemlje</t>
  </si>
  <si>
    <t xml:space="preserve">               F5.2 Plan ojačanja unutrašnjeg zida – kat</t>
  </si>
  <si>
    <t xml:space="preserve">               F5.3 Plan ojačanja unutrašnjeg zida – presjek</t>
  </si>
  <si>
    <t xml:space="preserve">               F6.1 Plan ojačanja pročeljnog zida – nacrt oplate</t>
  </si>
  <si>
    <t xml:space="preserve">               F6.2 Plan ojačanja pročeljnog zida – nacrt armature</t>
  </si>
  <si>
    <t xml:space="preserve">               F7.1 Požarno stubište – nacrt oplate</t>
  </si>
  <si>
    <t xml:space="preserve">               F7.2 Požarno stubište – nacrt armature</t>
  </si>
  <si>
    <t xml:space="preserve">               K1.1 Snimak postojećeg stanja – podrum</t>
  </si>
  <si>
    <t xml:space="preserve">               K1.2 Snimak postojećeg stanja - prizemlje</t>
  </si>
  <si>
    <t xml:space="preserve">               K1.3 Snimak postojećeg stanja - kat</t>
  </si>
  <si>
    <t xml:space="preserve">               K1.4 Snimak postojećeg stanja - krov</t>
  </si>
  <si>
    <t xml:space="preserve">               K2.1 Pozicije oštećenja – podrum</t>
  </si>
  <si>
    <t xml:space="preserve">               K2.2 Pozicije oštećenja - prizemlje</t>
  </si>
  <si>
    <t xml:space="preserve">               K2.3 Pozicije oštećenja - kat</t>
  </si>
  <si>
    <t xml:space="preserve">               Z1.1 Prikaz mjera zaštite od požara – podrum</t>
  </si>
  <si>
    <t xml:space="preserve">               Z1.2 Prikaz mjera zaštite od požara - prizemlje</t>
  </si>
  <si>
    <t xml:space="preserve">               Z1.3 Prikaz mjera zaštite od požara - kat</t>
  </si>
  <si>
    <t xml:space="preserve">               Z1.4 Prikaz mjera zaštite od požara - krov</t>
  </si>
  <si>
    <t xml:space="preserve">               Z1.5 Prikaz mjera zaštite od požara – presjek A-A</t>
  </si>
  <si>
    <t xml:space="preserve">           F1 Snimci postojećih stanja</t>
  </si>
  <si>
    <t xml:space="preserve">           F2 Pozicije oštećenja i istražnih radova</t>
  </si>
  <si>
    <t xml:space="preserve">           F4 Plan ojačanja stropne konstrukcije</t>
  </si>
  <si>
    <t xml:space="preserve">           F5 Plan ojačanja unutrašnjeg zida</t>
  </si>
  <si>
    <t xml:space="preserve">           F6 Plan ojačanja pročeljnog zida</t>
  </si>
  <si>
    <t xml:space="preserve">           F7 Požarno stubište</t>
  </si>
  <si>
    <t xml:space="preserve">           K1 Snimci postojećih stanja</t>
  </si>
  <si>
    <t xml:space="preserve">           K2 Pozicije oštećenja i istražnih radova</t>
  </si>
  <si>
    <t xml:space="preserve">                    T2.2.1 Troškovnik radova konstrukcijske obnove</t>
  </si>
  <si>
    <t xml:space="preserve">                    T2.2.2 Troškovnik elektroinstalaterskih radova</t>
  </si>
  <si>
    <t xml:space="preserve">                    T2.2.3 Troškovnik strojarskih radova</t>
  </si>
  <si>
    <t xml:space="preserve">                    T2.2.4 Troškovnik radova vodovoda i odvodnje</t>
  </si>
  <si>
    <t xml:space="preserve">                    T2.2.5 Troškovnik radova za ZOP</t>
  </si>
  <si>
    <r>
      <t xml:space="preserve">   · </t>
    </r>
    <r>
      <rPr>
        <i/>
        <sz val="9"/>
        <color theme="1"/>
        <rFont val="Calibri"/>
        <family val="2"/>
        <scheme val="minor"/>
      </rPr>
      <t>Troškovnik građevinskih radova – T1</t>
    </r>
  </si>
  <si>
    <r>
      <t xml:space="preserve">    · </t>
    </r>
    <r>
      <rPr>
        <i/>
        <sz val="9"/>
        <color theme="1"/>
        <rFont val="Calibri"/>
        <family val="2"/>
        <scheme val="minor"/>
      </rPr>
      <t>Troškovnik svih radova – T2</t>
    </r>
  </si>
  <si>
    <r>
      <t xml:space="preserve">    · </t>
    </r>
    <r>
      <rPr>
        <i/>
        <sz val="9"/>
        <color theme="1"/>
        <rFont val="Calibri"/>
        <family val="2"/>
        <scheme val="minor"/>
      </rPr>
      <t>Objedinjeni troškovnik svih radova faze I. – T3</t>
    </r>
  </si>
  <si>
    <r>
      <t xml:space="preserve">    · </t>
    </r>
    <r>
      <rPr>
        <i/>
        <sz val="9"/>
        <color theme="1"/>
        <rFont val="Calibri"/>
        <family val="2"/>
        <scheme val="minor"/>
      </rPr>
      <t>Rekapitulacija troškovnika</t>
    </r>
  </si>
  <si>
    <r>
      <t xml:space="preserve">    · </t>
    </r>
    <r>
      <rPr>
        <i/>
        <sz val="9"/>
        <color theme="1"/>
        <rFont val="Calibri"/>
        <family val="2"/>
        <scheme val="minor"/>
      </rPr>
      <t>Situacija na izvodu iz katastarskog plana – S1</t>
    </r>
  </si>
  <si>
    <r>
      <t xml:space="preserve">    ·</t>
    </r>
    <r>
      <rPr>
        <i/>
        <sz val="9"/>
        <color theme="1"/>
        <rFont val="Times New Roman"/>
        <family val="1"/>
      </rPr>
      <t> </t>
    </r>
    <r>
      <rPr>
        <i/>
        <sz val="9"/>
        <color theme="1"/>
        <rFont val="Calibri"/>
        <family val="2"/>
        <scheme val="minor"/>
      </rPr>
      <t>Fakultet filozofije religijskih znanosti</t>
    </r>
  </si>
  <si>
    <r>
      <t xml:space="preserve">    · </t>
    </r>
    <r>
      <rPr>
        <i/>
        <sz val="9"/>
        <color theme="1"/>
        <rFont val="Calibri"/>
        <family val="2"/>
        <scheme val="minor"/>
      </rPr>
      <t>Znanstvena knjižnica Juraj Habdelić</t>
    </r>
  </si>
  <si>
    <r>
      <t xml:space="preserve">    ·</t>
    </r>
    <r>
      <rPr>
        <i/>
        <sz val="9"/>
        <color theme="1"/>
        <rFont val="Times New Roman"/>
        <family val="1"/>
      </rPr>
      <t xml:space="preserve"> </t>
    </r>
    <r>
      <rPr>
        <i/>
        <sz val="9"/>
        <color theme="1"/>
        <rFont val="Calibri"/>
        <family val="2"/>
        <scheme val="minor"/>
      </rPr>
      <t>Prikaz svih mjera zaštite od požara
       Fakultet filozofije religijskih znanosti – Z1</t>
    </r>
  </si>
  <si>
    <t xml:space="preserve">               T2.1 Troškovnik građevinskih radova – Dovođenje građevine
                         u stanje prije potresa</t>
  </si>
  <si>
    <t xml:space="preserve">               T2.2 Troškovnik građevinskih radova – Dodatna ojačanja konstrukcije
                         i prilagodbe suvremenim uvjetima korištenja i sigurnosti</t>
  </si>
  <si>
    <t xml:space="preserve">               T3.1 Troškovnik građevinskih radova – Dovođenje građevine u stanje
                         prije potresa</t>
  </si>
  <si>
    <t xml:space="preserve">               T3.2 Troškovnik građevinskih radova – Dodatna ojačanja konstrukcije
                         i prilagodbe suvremenim uvjetima korištenja i sigurnosti</t>
  </si>
  <si>
    <t xml:space="preserve">           F3 Plan sektora zahvata</t>
  </si>
  <si>
    <t xml:space="preserve">               K1.5 Snimak postojećeg stanja – presjek A-A</t>
  </si>
  <si>
    <t xml:space="preserve">               K1.6 Snimak postojećeg stanja – pročelja istok i zapad</t>
  </si>
  <si>
    <t xml:space="preserve">               K1.7 Snimak postojećeg stanja – pročelja sjever i jug</t>
  </si>
  <si>
    <t xml:space="preserve">               K2.4 Sanacija oštećenih dijelova od istražnih ispitivanja - podrum</t>
  </si>
  <si>
    <r>
      <rPr>
        <b/>
        <sz val="10"/>
        <rFont val="Calibri"/>
        <family val="2"/>
        <scheme val="minor"/>
      </rPr>
      <t>Postavljanje krovnih kupola za odvođenje dima i topline.</t>
    </r>
    <r>
      <rPr>
        <sz val="10"/>
        <rFont val="Calibri"/>
        <family val="2"/>
        <scheme val="minor"/>
      </rPr>
      <t xml:space="preserve">
Stavka obuhvaća postavljanje krovnih kupola dimenzija 120x120 cm za odvođenje dima i topline iz stubišnih prostora , (prilog F3.4). Krovne kupole moraju biti normirane požarne otpornosti REI 90 te ugrađene od strane ovlaštenog izvođača, prema specifikacijama proizvođača. U cijenu stavke uključiti sav rad, materijal, potrebnu radnu skelu, alate i strojeve potrebne za potpuno dovršenje stavke.
Obračun je po komadu postavljenih krovnih kupola.</t>
    </r>
  </si>
  <si>
    <r>
      <rPr>
        <b/>
        <sz val="10"/>
        <rFont val="Calibri"/>
        <family val="2"/>
        <scheme val="minor"/>
      </rPr>
      <t>Odvoz građevinskog materijala na deponij.</t>
    </r>
    <r>
      <rPr>
        <sz val="10"/>
        <rFont val="Calibri"/>
        <family val="2"/>
        <scheme val="minor"/>
      </rPr>
      <t xml:space="preserve">
Stavka obuhvaća odvoz oštećene opeke, šute i ostaloga građevinskog materijala na gradski deponij udaljen do 20 km. Otpad se razvrstava prema pravilniku o gospodarenju otpadom (NN81/2020).
Obračun je po m3 deponiranoga otpada.</t>
    </r>
  </si>
  <si>
    <r>
      <t xml:space="preserve">Uređenje pristupa požarnom stubištu.
</t>
    </r>
    <r>
      <rPr>
        <sz val="10"/>
        <rFont val="Calibri"/>
        <family val="2"/>
        <scheme val="minor"/>
      </rPr>
      <t>Stavka obuhvaća uređenje pristupa stubištu u vidu postavljanja novih kulir ploča (prilog F3.2, sektor P5). U cijenu stavke uključiti pripremu podloge, sav rad, materijal, alate i strojeve potrebne za potpuno dovršenje stavke.
Obračun po m2 uređene površine.</t>
    </r>
  </si>
  <si>
    <r>
      <rPr>
        <b/>
        <sz val="10"/>
        <rFont val="Calibri"/>
        <family val="2"/>
        <scheme val="minor"/>
      </rPr>
      <t>Izrada rupa za sidrenu armaturu.</t>
    </r>
    <r>
      <rPr>
        <sz val="10"/>
        <rFont val="Calibri"/>
        <family val="2"/>
        <scheme val="minor"/>
      </rPr>
      <t xml:space="preserve">
Stavka obuhvaća bušenje rupa za sidrenu armaturu (ankere) u postojećoj armiranobetonskoj ploči i zidovima (priloG F6.2), te dobavu i ugradnju brzostvrdnjavajućeg ljepila za sidrenje . Rupe izbušiti u dubini od 15 cm u postojećoj armiranobetonskoj nosivoj konstrukciji te iste ispuhati komprimiranim zrakom prije ugradnje ljepila za sidrenje. U cijenu stavke uključiti sav rad, materijal, potrebnu radnu skelu, alate i strojeve potrebne za potpuno dovršenje stavke.
Obračun je po broju bušnih mjesta.</t>
    </r>
  </si>
  <si>
    <r>
      <rPr>
        <b/>
        <sz val="10"/>
        <rFont val="Calibri"/>
        <family val="2"/>
        <scheme val="minor"/>
      </rPr>
      <t xml:space="preserve">Izrada rupa za sidrenu armaturu.
</t>
    </r>
    <r>
      <rPr>
        <sz val="10"/>
        <rFont val="Calibri"/>
        <family val="2"/>
        <scheme val="minor"/>
      </rPr>
      <t>Stavka obuhvaća bušenje rupa za sidrenu armaturu (ankere) u postojećoj armiranobetonskoj ploči i zidovima (prilog F7.2), te dobavu i ugradnju brzostvrdnjavajućeg ljepila za sidrenje . Rupe izbušiti u dubini od 15 cm u postojećoj armiranobetonskoj nosivoj konstrukciji te iste ispuhati komprimiranim zrakom prije ugradnje ljepila za sidrenje. U cijenu stavke uključiti sav rad, materijal, potrebnu radnu skelu, alate i strojeve potrebne za potpuno dovršenje stavke.
Obračun je po broju bušnih mjesta.</t>
    </r>
  </si>
  <si>
    <r>
      <rPr>
        <b/>
        <sz val="10"/>
        <rFont val="Calibri"/>
        <family val="2"/>
        <scheme val="minor"/>
      </rPr>
      <t>Izrada rupa za sidrenu armaturu.</t>
    </r>
    <r>
      <rPr>
        <sz val="10"/>
        <rFont val="Calibri"/>
        <family val="2"/>
        <scheme val="minor"/>
      </rPr>
      <t xml:space="preserve">
Stavka obuhvaća bušenje rupa za sidrenu armaturu (ankere) u postojećoj armiranobetonskoj ploči i zidovima (prilozi F6.2), te dobavu i ugradnju brzostvrdnjavajućeg ljepila za sidrenje . Rupe izbušiti u dubini od 15 cm u postojećoj armiranobetonskoj nosivoj konstrukciji te iste ispuhati komprimiranim zrakom prije ugradnje ljepila za sidrenje. U cijenu stavke uključiti sav rad, materijal, potrebnu radnu skelu, alate i strojeve potrebne za potpuno dovršenje stavke.
Obračun je po broju bušnih mjesta.</t>
    </r>
  </si>
  <si>
    <r>
      <rPr>
        <b/>
        <sz val="10"/>
        <rFont val="Calibri"/>
        <family val="2"/>
        <scheme val="minor"/>
      </rPr>
      <t>Izrada rupa za sidrenu armaturu.</t>
    </r>
    <r>
      <rPr>
        <sz val="10"/>
        <rFont val="Calibri"/>
        <family val="2"/>
        <scheme val="minor"/>
      </rPr>
      <t xml:space="preserve">
Stavka obuhvaća bušenje rupa za sidrenu armaturu (ankere) u postojećoj armiranobetonskoj ploči i zidovima (prilog F7.2), te dobavu i ugradnju brzostvrdnjavajućeg ljepila za sidrenje . Rupe izbušiti u dubini od 15 cm u postojećoj armiranobetonskoj nosivoj konstrukciji te iste ispuhati komprimiranim zrakom prije ugradnje ljepila za sidrenje. U cijenu stavke uključiti sav rad, materijal, potrebnu radnu skelu, alate i strojeve potrebne za potpuno dovršenje stavke.
Obračun je po broju bušnih mjesta.</t>
    </r>
  </si>
  <si>
    <r>
      <rPr>
        <b/>
        <sz val="10"/>
        <color theme="1"/>
        <rFont val="Calibri"/>
        <family val="2"/>
        <scheme val="minor"/>
      </rPr>
      <t>Zaštita plinske instalacije.</t>
    </r>
    <r>
      <rPr>
        <sz val="10"/>
        <color theme="1"/>
        <rFont val="Calibri"/>
        <family val="2"/>
        <scheme val="minor"/>
      </rPr>
      <t xml:space="preserve">
Stavka obuhvaća nabavu, dopremu i izvedbu zaštite plinske cijevi, uključujući izvedbu dva otvora na fasadi promjera 15 cm te jedan otvor u unutrašnjem zidu promjera 15 cm (prilog F3.1, sektor P6). Zaštita plinske cijevi podrazumijeva postavljanje četverostrane obloge (kutijasta zaštita) od protupožarnih ploča debljine 20 mmte postavljanje protupožarnih obujmica za ukupno pet prodora kroz zidove objekta (četiri prodora u unutrašnjim zidovima te jedan prodor u fasadnom zidu). Opis i način ugradnje prema specifikacijama proizvođača. U cijenu stavke uključiti sav rad, materijal, potrebnu radnu skelu, alate i strojeve potrebne za potpuno dovršenje stavke. 
Obračun po m' potrebne zaštite plinske cijevi.</t>
    </r>
  </si>
  <si>
    <r>
      <rPr>
        <b/>
        <sz val="10"/>
        <rFont val="Calibri"/>
        <family val="2"/>
        <scheme val="minor"/>
      </rPr>
      <t>Žbukanje svih unutarnjih površina.</t>
    </r>
    <r>
      <rPr>
        <sz val="10"/>
        <rFont val="Calibri"/>
        <family val="2"/>
        <scheme val="minor"/>
      </rPr>
      <t xml:space="preserve">
Ponovno ručno žbukanje otvorenih površina (prilozi F3.1, F3.2 i F3.3,  prilozi F2.1, F2.2, F2.3, F2.4, F2.5, F2.6, K2.1, K2.2, K2.3, K2.4) paropropusnom bezcementnom izravnavajućom žbukom na bazi prirodnog hidrauličnog vapna i eco pucolana kako bi se postigla završna kvaliteta obrade zidova . Nenosive stare žbuke ili premaze je potrebno prethodno ukloniti. Podloga treba biti dobro očišćena i suha. Žbukanje se izvodi do stadija grube žbuke. U cijenu uključena izvedba cementnog šprica, sav potreban materijal, radna skela i rad za izvedbu grube i fine žbuke.
Obračun po m² izvedene žbuke.</t>
    </r>
  </si>
  <si>
    <r>
      <t xml:space="preserve">Žbukanje fasade.
</t>
    </r>
    <r>
      <rPr>
        <sz val="10"/>
        <rFont val="Calibri"/>
        <family val="2"/>
        <scheme val="minor"/>
      </rPr>
      <t>Ponovno žbukanje otvorenih površina (prilozi F2.1, F2.2, F2.3, F2.4, F2.5, F2.6, K2.1, K2.2, K2.3, K2.4). Nenosive stare žbuke ili premaze je potrebno prethodno ukloniti. Podloga treba biti dobro očišćena i suha. Žbukanje se izvodi do stadija grube žbuke. U cijenu uključena izvedba cementnog šprica, sav potreban materijal i rad za izvedbu grube i fine žbuke.
Obračun po m2 izvedene žbuke i bojanja.</t>
    </r>
  </si>
  <si>
    <r>
      <rPr>
        <b/>
        <sz val="10"/>
        <rFont val="Calibri"/>
        <family val="2"/>
        <scheme val="minor"/>
      </rPr>
      <t>Žbukanje svih unutarnjih površina.</t>
    </r>
    <r>
      <rPr>
        <sz val="10"/>
        <rFont val="Calibri"/>
        <family val="2"/>
        <scheme val="minor"/>
      </rPr>
      <t xml:space="preserve">
Ponovno ručno žbukanje otvorenih površina (prilozi F3.1, F3.2 i F3.3) paropropusnom bezcementnom izravnavajućom žbukom na bazi prirodnog hidrauličnog vapna i eco pucolana kako bi se postigla završna kvaliteta obrade zidova . Nenosive stare žbuke ili premaze je potrebno prethodno ukloniti. Podloga treba biti dobro očišćena i suha. Žbukanje se izvodi do stadija grube žbuke. U cijenu uključena izvedba cementnog šprica, sav potreban materijal, radna skela i rad za izvedbu grube i fine žbuke.
Obračun po m² izvedene žbuke.</t>
    </r>
  </si>
  <si>
    <r>
      <t xml:space="preserve">Žbukanje fasade.
</t>
    </r>
    <r>
      <rPr>
        <sz val="10"/>
        <rFont val="Calibri"/>
        <family val="2"/>
        <scheme val="minor"/>
      </rPr>
      <t>Ponovno žbukanje otvorenih površina (prilog F3.2, sektor P5). Nenosive stare žbuke ili premaze je potrebno prethodno ukloniti. Podloga treba biti dobro očišćena i suha. Žbukanje se izvodi do stadija grube žbuke. U cijenu uključena izvedba cementnog šprica, sav potreban materijal i rad za izvedbu grube i fine žbuke.
Obračun po m2 izvedene žbuke i bojanja.</t>
    </r>
  </si>
  <si>
    <r>
      <rPr>
        <b/>
        <sz val="10"/>
        <rFont val="Calibri"/>
        <family val="2"/>
        <scheme val="minor"/>
      </rPr>
      <t>Žbukanje svih unutarnjih površina.</t>
    </r>
    <r>
      <rPr>
        <sz val="10"/>
        <rFont val="Calibri"/>
        <family val="2"/>
        <scheme val="minor"/>
      </rPr>
      <t xml:space="preserve">
Ponovno ručno žbukanje otvorenih površina (prilozi F3.1, F3.2 i F3.3, prilozi F2.1, F2.2, F2.3, F2.4, F2.5, F2.6, K2.1, K2.2, K2.3, K2.4) paropropusnom bezcementnom izravnavajućom žbukom na bazi prirodnog hidrauličnog vapna i eco pucolana kako bi se postigla završna kvaliteta obrade zidova . Nenosive stare žbuke ili premaze je potrebno prethodno ukloniti. Podloga treba biti dobro očišćena i suha. Žbukanje se izvodi do stadija grube žbuke. U cijenu uključena izvedba cementnog šprica, sav potreban materijal, radna skela i rad za izvedbu grube i fine žbuke.
Obračun po m² izvedene žbuke.</t>
    </r>
  </si>
  <si>
    <r>
      <t xml:space="preserve">Žbukanje fasade.
</t>
    </r>
    <r>
      <rPr>
        <sz val="10"/>
        <rFont val="Calibri"/>
        <family val="2"/>
        <scheme val="minor"/>
      </rPr>
      <t>Ponovno žbukanje otvorenih površina (prilozi F3.1, F3.2, F3.3, sektori S1, P1 i K1). Nenosive stare žbuke ili premaze je potrebno prethodno ukloniti. Podloga treba biti dobro očišćena i suha. Žbukanje se izvodi do stadija grube žbuke. U cijenu uključena izvedba cementnog šprica, sav potreban materijal i rad za izvedbu grube i fine žbuke.
Obračun po m2 izvedene žbuke i bojanja.</t>
    </r>
  </si>
  <si>
    <r>
      <t xml:space="preserve">Zatvaranje istražnih bušotina reparaturnim mortom.
</t>
    </r>
    <r>
      <rPr>
        <sz val="10"/>
        <rFont val="Calibri"/>
        <family val="2"/>
        <scheme val="minor"/>
      </rPr>
      <t xml:space="preserve">Stavka obuhvaća zatvaranje istražnih bušotina reparaturnim mortom  (prilozi F2.7 i K2.5). Betonske podloge moraju biti čiste, čvrste, suhe, nesmrznute, bez ostataka oplatnog ulja i cementne skramice. Vidljivu armaturu prije nanošenja reparaturnog morta obavezno temeljito očistiti od hrđe i premazati antikorozivnim sredstvom.
Sve oštećene i slabo držeće dijelove betona kao i prašinu skinuti do zdrave podloge strujom zraka. Podlogu ohrapaviti brušenjem ili pjeskarenjem. U cijenu treba uračunati sav rad, materijal, potrebnu radnu skelu, alate i strojeve potrebne za potpuno dovršenje stavke.
</t>
    </r>
    <r>
      <rPr>
        <b/>
        <sz val="10"/>
        <rFont val="Calibri"/>
        <family val="2"/>
        <scheme val="minor"/>
      </rPr>
      <t>Obračun po komadu istražnih bušotina.</t>
    </r>
  </si>
  <si>
    <r>
      <rPr>
        <b/>
        <sz val="10"/>
        <rFont val="Calibri"/>
        <family val="2"/>
        <scheme val="minor"/>
      </rPr>
      <t>Ugradnja karbonskih mreža.</t>
    </r>
    <r>
      <rPr>
        <sz val="10"/>
        <rFont val="Calibri"/>
        <family val="2"/>
        <scheme val="minor"/>
      </rPr>
      <t xml:space="preserve">
Stavka obuhvaća nabavu i ugradnju sustava ojačanja s mrežom od karbonskih vlakana vlačne nosivosti ≥ 260 kN/m (prilozi F3.1, F3.2 i F3.3, sektori S1, P1, P6, K1 i prilozi F2.1, F2.2 i prilozi F5.1, F5.2, F5.3). Duktilni dvokomponentni mikroarmirani mort nanosi se ravnomjerno na sve pripremljene površine u debljini 5 do 6 mm preko pukotine u najmanjoj širini od 50 cm odnosno punoplošno za sanaciju kompletne površine zida. Dok je mort još svjež, tkanina od karbonskih vlakana jednolikim se pritiskom utiskuje u njega. Važno je osigurati minimalni preklop tkanina od najmanje 25 cm u uzdužnom smjeru i najmanje 10 cm u poprečnom smjeru. Dok je prvi sloj morta još u svježem stanju, nanosi se drugi sloj debljine 5 do 6 mm. Nakon što mort očvrsne, zagladiti površinu mortom za zaglađivanje. Raspored ugradnje se nalazi u prilozima F5.1, F5.2 i F5.3, a opis i način ugradnje prema specifikacijama proizvođača.. U cijenu stavke uključiti sav rad, materijal, potrebnu radnu skelu, alate i strojeve potrebne za potpuno dovršenje stavke. 
Obračun je po m2 površine.</t>
    </r>
  </si>
  <si>
    <r>
      <rPr>
        <b/>
        <sz val="10"/>
        <rFont val="Calibri"/>
        <family val="2"/>
        <scheme val="minor"/>
      </rPr>
      <t>Ugradnja karbonskih mreža.</t>
    </r>
    <r>
      <rPr>
        <sz val="10"/>
        <rFont val="Calibri"/>
        <family val="2"/>
        <scheme val="minor"/>
      </rPr>
      <t xml:space="preserve">
Stavka obuhvaća nabavu i ugradnju sustava ojačanja s mrežom od karbonskih vlakana vlačne nosivosti ≥ 260 kN/m (prilog F3.2, sektori P6 i prilozi F2.1, F2.2). Duktilni dvokomponentni mikroarmirani mort nanosi se ravnomjerno na sve pripremljene površine u debljini 5 do 6 mm preko pukotine u najmanjoj širini od 50 cm odnosno punoplošno za sanaciju kompletne površine zida. Dok je mort još svjež, tkanina od karbonskih vlakana jednolikim se pritiskom utiskuje u njega. Važno je osigurati minimalni preklop tkanina od najmanje 25 cm u uzdužnom smjeru i najmanje 10 cm u poprečnom smjeru. Dok je prvi sloj morta još u svježem stanju, nanosi se drugi sloj debljine 5 do 6 mm. Nakon što mort očvrsne, zagladiti površinu mortom za zaglađivanje. Opis i način ugradnje prema specifikacijama proizvođača.. U cijenu stavke uključiti sav rad, materijal, potrebnu radnu skelu, alate i strojeve potrebne za potpuno dovršenje stavke. 
Obračun je po m2 površine.</t>
    </r>
  </si>
  <si>
    <r>
      <rPr>
        <b/>
        <sz val="10"/>
        <rFont val="Calibri"/>
        <family val="2"/>
        <scheme val="minor"/>
      </rPr>
      <t>Ugradnja karbonskih mreža.</t>
    </r>
    <r>
      <rPr>
        <sz val="10"/>
        <rFont val="Calibri"/>
        <family val="2"/>
        <scheme val="minor"/>
      </rPr>
      <t xml:space="preserve">
Stavka obuhvaća nabavu i ugradnju sustava ojačanja s mrežom od karbonskih vlakana vlačne nosivosti ≥ 260 kN/m (prilozi F3.1, F3.2 i F3.3, sektori S1, P1, K1 i prilozi F5.1, F5.2, F5.3). Duktilni dvokomponentni mikroarmirani mort nanosi se ravnomjerno na sve pripremljene površine u debljini 5 do 6 mm preko pukotine u najmanjoj širini od 50 cm odnosno punoplošno za sanaciju kompletne površine zida. Dok je mort još svjež, tkanina od karbonskih vlakana jednolikim se pritiskom utiskuje u njega. Važno je osigurati minimalni preklop tkanina od najmanje 25 cm u uzdužnom smjeru i najmanje 10 cm u poprečnom smjeru. Dok je prvi sloj morta još u svježem stanju, nanosi se drugi sloj debljine 5 do 6 mm. Nakon što mort očvrsne, zagladiti površinu mortom za zaglađivanje. Raspored ugradnje se nalazi u prilozima F5.1, F5.2 i F5.3, a opis i način ugradnje prema specifikacijama proizvođača.. U cijenu stavke uključiti sav rad, materijal, potrebnu radnu skelu, alate i strojeve potrebne za potpuno dovršenje stavke. 
Obračun je po m2 površine.</t>
    </r>
  </si>
  <si>
    <t>Ugradnja karbonskih užadi.
Stavka obuhvaća bušenje rupa, nabavu i ugradnju sustava ojačanja s karbonskim užadima(prilozi F3.1, F3.2 i F3.3, sektori S1, P1, K1 i prilozi F5.1, F5.2, F5.3). Bušenje rupa izvodi se pod kutem od 45° na spojevima zida predviđenog za sanaciju sa međukatnim konstrukcijama i susjednim zidovima, promjera 10 mm i dubine 20 cm, na razmaku od 1,00 m. Po završetku bušenja, rupe se ispuhuju komprimiranim zrakom. Dio užadi koja se ugrađuje u bušotinu impregnirati tekućom epoksidnom smolom te posipati kvarcnim pijeskom, a u pripremljene bušotine ugraditi sredstvo za sidrenje. Raspored ugradnje se nalazi u prilozima F5.1, F5.2 i F5.3, a opis i način ugradnje prema specifikacijama proizvođača. U cijenu stavke uključiti sav rad, materijal, potrebnu radnu skelu, alate i strojeve potrebne za potpuno dovršenje stavke. 
Obračun je po komadu potrebnih užadi.</t>
  </si>
  <si>
    <r>
      <rPr>
        <b/>
        <sz val="10"/>
        <rFont val="Calibri"/>
        <family val="2"/>
        <scheme val="minor"/>
      </rPr>
      <t>Ugradnja karbonskih užadi.</t>
    </r>
    <r>
      <rPr>
        <sz val="10"/>
        <rFont val="Calibri"/>
        <family val="2"/>
        <scheme val="minor"/>
      </rPr>
      <t xml:space="preserve">
Stavka obuhvaća bušenje rupa, nabavu i ugradnju sustava ojačanja s karbonskim užadima(prilozi F3.1, F3.2 i F3.3, sektori S1, P1, K1 i prilozi F5.1, F5.2, F5.3). Bušenje rupa izvodi se pod kutem od 45° na spojevima zida predviđenog za sanaciju sa međukatnim konstrukcijama i susjednim zidovima, promjera 10 mm i dubine 20 cm, na razmaku od 1,00 m. Po završetku bušenja, rupe se ispuhuju komprimiranim zrakom. Dio užadi koja se ugrađuje u bušotinu impregnirati tekućom epoksidnom smolom te posipati kvarcnim pijeskom, a u pripremljene bušotine ugraditi sredstvo za sidrenje. Raspored ugradnje se nalazi u prilozima F5.1, F5.2 i F5.3, a opis i način ugradnje prema specifikacijama proizvođača. U cijenu stavke uključiti sav rad, materijal, potrebnu radnu skelu, alate i strojeve potrebne za potpuno dovršenje stavke. 
Obračun je po komadu potrebnih užadi.</t>
    </r>
  </si>
  <si>
    <r>
      <rPr>
        <b/>
        <sz val="10"/>
        <rFont val="Calibri"/>
        <family val="2"/>
        <scheme val="minor"/>
      </rPr>
      <t>Ugradnja karbonskih lamela.</t>
    </r>
    <r>
      <rPr>
        <sz val="10"/>
        <rFont val="Calibri"/>
        <family val="2"/>
        <scheme val="minor"/>
      </rPr>
      <t xml:space="preserve">
Stavka obuhvaća nabavu i ugradnju sustava ojačanja s lamelama od karbonskih vlakana vlačne nosivosti ≥ 320 kN/m te lijepljene traka proizvodom uvjetovanim od strane proizvođača (prilozi F3.1, F3.2 i F3.3, sektori S1, P1, K1 i prilozi F4.1, F4.2 i F4.3). Karbonske lamele lijepe se na konstrukciju kao vezano ojačanje koristeći ljepilo na bazi epoksidne smole . Raspored ugradnje se nalazi u prilozima 1, 2 i 3, a opis i način ugradnje prema specifikacijama proizvođača. Faze su opisane u projektu u proračunu stropnih ploča.  U cijenu stavke uključiti sav rad, materijal, potrebnu radnu skelu, alate i strojeve potrebne za potpuno dovršenje stavke.   
Obračun je po m1 ugrađenih lamela.</t>
    </r>
  </si>
  <si>
    <r>
      <t xml:space="preserve">Postavljanje radijatora.
</t>
    </r>
    <r>
      <rPr>
        <sz val="10"/>
        <color theme="1"/>
        <rFont val="Calibri"/>
        <family val="2"/>
        <scheme val="minor"/>
      </rPr>
      <t>Stavka obuhvaća nabavu i postavljanje aluminijskih radijatora tlaka do 4 bara , isporuka ukupno 2 baterije (30 članaka). U cijenu stavke uključiti sav rad, materijal, alate i strojeve potrebne za potpuno dovršenje stavke.
Obračun po komadu postavljenih radijatora.</t>
    </r>
  </si>
  <si>
    <r>
      <t xml:space="preserve">Izrada novog šlica za polaganje cijevi.
</t>
    </r>
    <r>
      <rPr>
        <sz val="10"/>
        <color theme="1"/>
        <rFont val="Calibri"/>
        <family val="2"/>
        <scheme val="minor"/>
      </rPr>
      <t>Stavka obuhvaća izradu novog šlica duljine 8 m za polaganje 4 instalacijske cijevi na mjestima starih kanalica. Ugradnja 4 instalacijske cijevi fi=20 mm. Ugradnja instalacijske kutije s 4 modula i ugradnja modula u kutiju s električnim povezivanjem kabela na odgovarajuće module. U cijenu stavke uključiti sav rad, materijal, alate i strojeve potrebne za potpuno dovršenje stavke.
Obračun po kompletu izvedenih radova.</t>
    </r>
  </si>
  <si>
    <t>Izrada novog šlica za polaganje cijevi.
Stavka obuhvaća izradu novog šlica duljine 8 m za polaganje 4 instalacijske cijevi na mjestima starih kanalica. Ugradnja 4 instalacijske cijevi fi=20 mm. Ugradnja instalacijske kutije s 4 modula i ugradnja modula u kutiju s električnim povezivanjem kabela na odgovarajuće module. U cijenu stavke uključiti sav rad, materijal, alate i strojeve potrebne za potpuno dovršenje stavke.
Obračun po kompletu izvedenih radova.</t>
  </si>
  <si>
    <r>
      <t xml:space="preserve">Izrada novog šlica za polaganje cijevi.
</t>
    </r>
    <r>
      <rPr>
        <sz val="10"/>
        <color theme="1"/>
        <rFont val="Calibri"/>
        <family val="2"/>
        <scheme val="minor"/>
      </rPr>
      <t>Stavka obuhvaća izradu novog šlica duljine 8 m za polaganje 4 instalacijske cijevi na mjestima starih kanalica. Ugradnja 4 instalacijske cijevi fi=20 mm. Ugradnja instalacijske kutije s 4 modula i ugradnja modula u kutiju s električnim povezivanjem kabela na odgovarajuće module. U cijenu stavke uključiti sav rad, materijal, alate i strojeve potrebne za potpuno dovršenje stavke.</t>
    </r>
    <r>
      <rPr>
        <b/>
        <sz val="10"/>
        <color theme="1"/>
        <rFont val="Calibri"/>
        <family val="2"/>
        <scheme val="minor"/>
      </rPr>
      <t xml:space="preserve">
Obračun po kompletu izvedenih radova.</t>
    </r>
  </si>
  <si>
    <r>
      <t xml:space="preserve">Nabavka, dostava i polaganje kabla NYY-J 3x0,73 mm² povezivanjem na razdjelnike etaža za potrebe ostvarivanja jedinstvenog isklopa svih razdjelnika.
</t>
    </r>
    <r>
      <rPr>
        <sz val="10"/>
        <color theme="1"/>
        <rFont val="Calibri"/>
        <family val="2"/>
        <scheme val="minor"/>
      </rPr>
      <t>Kabel se polaže u kanalice i kroz otvore u betonskim konstrukcijama. U slučaju prolaska kroz požarne zone prolaze je potrebno brtviti protupožarnim brtvilom. Duljina trase kabela je oko 70 m. U stavku uračunati kanalice s montažnim materijalom, izradu prodora kroz zidove i podove objekta (8 bušenja prodora) i sredstvo za brtvljenje.</t>
    </r>
  </si>
  <si>
    <r>
      <t xml:space="preserve">Nabavka, dostava i polaganje kabela NYY-J 3x0,73 mm² povezivanjem na razdjelnike etaža za potrebe ostvarivanja jedinstvenog isklopa svih razdjelnika.
</t>
    </r>
    <r>
      <rPr>
        <sz val="10"/>
        <rFont val="Calibri"/>
        <family val="2"/>
        <scheme val="minor"/>
      </rPr>
      <t>Kabel se polaže u kanalice i kroz otvore u betonskim konstrukcijama. U slučaju prolaska kroz požarne zone prolaze je potrebno brtviti protupožarnim brtvilom. Duljina trase kabela je oko 70 m. U stavku uračunati kanalice s montažnim materijalom, izradu prodora kroz zidove i podove objekta (8 bušenja prodora) i sredstvo za brtvljenje.</t>
    </r>
  </si>
  <si>
    <t>- 4 konfigurabilna I/O kanala za 1A nadzirane naponske ulaze ili izlaze
- 1 konfigurabilni relejni izlaz
- 4.3” LCD dodirni zaslon
- silikonske tipke za osnovne funkcije
- minimalno 1000 zona
- minimalno 1000 grupa za aktivacijsku logiku
- Zapis minimalno 2000 događaja
- konfigurabilni zaslon sa slikama, tekstom, ikonama i funkcijskim tipkama
- temperaturni opseg rada najmanje u rasponu od -5°C do +40°C
- sukladnost prema HRN EN 54-2, HRN EN 54-4, HRN EN 54-21, HRN EN 12094-1 ili jednakovrijednim normama</t>
  </si>
  <si>
    <r>
      <t xml:space="preserve">Dobava vatrootpornog ormara za smještaj vatrodojavne centrale.
</t>
    </r>
    <r>
      <rPr>
        <sz val="10"/>
        <color theme="1"/>
        <rFont val="Calibri"/>
        <family val="2"/>
        <scheme val="minor"/>
      </rPr>
      <t>Dobava i isporuka vatrootpornog ormara za smještaj vatrodojavne centrale. Izrada od čeličnog pocinčanog lima, završna obrada plastifikacijom u boji RAL kataloga po specifikaciji naručitelja- ostakljena vrata izvedena su protupožarnim staklom u klasi F60, debljine 21cm- ugrađena protupožarna brava po DIN-18250 i cilindar sa tri ključa certificiran po ovlaštenim ustanovama u RH- dimenzije 80x80x25 cm.</t>
    </r>
  </si>
  <si>
    <r>
      <t xml:space="preserve"> Dobava akumulatorske baterije.
</t>
    </r>
    <r>
      <rPr>
        <sz val="10"/>
        <color theme="1"/>
        <rFont val="Calibri"/>
        <family val="2"/>
        <scheme val="minor"/>
      </rPr>
      <t>Dobava i isporuka akumulatorskih baterija za rezervno napajanje sustava za dojavu požara. Napon 12 VDC, kapacitet 18 Ah.</t>
    </r>
  </si>
  <si>
    <r>
      <rPr>
        <b/>
        <sz val="10"/>
        <color theme="1"/>
        <rFont val="Calibri"/>
        <family val="2"/>
        <scheme val="minor"/>
      </rPr>
      <t xml:space="preserve"> Dobava panela za nadzor i upravljanje nad sustavom za dojavu požara.</t>
    </r>
    <r>
      <rPr>
        <sz val="10"/>
        <color theme="1"/>
        <rFont val="Calibri"/>
        <family val="2"/>
        <scheme val="minor"/>
      </rPr>
      <t xml:space="preserve">
Dobava i isporuka izdvojenog panela za nadzor i upravljanje nad sustavom za dojavu požara, sljedećih minimalnih tehničkih karakteristika:
- replicira sve informacije sa sustava i omogućava pristup korisnicima ovisno o pristupnim šiframa
- 4.3" LCD dodirni zaslon zajedno sa silikonskim tipkama za osnovne funkcije
- konfigurabilni zaslon
- moguće spajanje preko RS485 protokola ili TCP/IP umrežavanje
- Napajanje 19-30 Vdc (putem RS485 iz centrale ili lokalno)
- Potrošnja ne veća od 130 mA
</t>
    </r>
  </si>
  <si>
    <r>
      <t xml:space="preserve"> Dobava GSM/PSTN komunikacijskog modula proširenja.</t>
    </r>
    <r>
      <rPr>
        <sz val="10"/>
        <color theme="1"/>
        <rFont val="Calibri"/>
        <family val="2"/>
        <scheme val="minor"/>
      </rPr>
      <t xml:space="preserve">
Dobava i isporuka GSM/PSTN komunikacijskog modula proširenja sa sljedećim minimalnim tehničkim karakteristikama:
- ugrađuje se izravno na matičnu ploču centrale za dojavu požara
- mora podržavati protokole Contact ID i SIA
- mora biti sukladna normi HRN EN 54-21 ili jednakovrijednoj
- mora podržavati minimalno 100 glasovnih poruka (sveukupnog trajanja do najmanje 15 minuta)
- mora podržavati minimalno 100 akcija
- minimalno 100 prilagodljivih SMS poruka
- minimalno 15 telefonskih brojeva za dojavu (digitalno, glasovno, SMS)
- napajanje od 19 do 30 Vdc
- mini USB port, konektor za GSM antenu, utor za SIM karticu, konektori za telefonsku liniju
- radna temperatura: minimalno u rasponu od -5°C do +40°C
</t>
    </r>
  </si>
  <si>
    <r>
      <t>Dobava adresabilnog optički detektora s integriranim izolatorom petlje.</t>
    </r>
    <r>
      <rPr>
        <sz val="10"/>
        <color theme="1"/>
        <rFont val="Calibri"/>
        <family val="2"/>
        <scheme val="minor"/>
      </rPr>
      <t xml:space="preserve">
Dobava i isporuka adresabilnog optičkog detektora s integriranim izolatorom petlje sa sljedećim minimalnim tehničkim karakteristikama:
- obavezno automatsko adresiranje s centrale
- obavezno mogućnost ručnog adresiranja s centrale
- obavezno podesiva osjetljivost s centrale, posebno za dnevni, posebno za noćni režim
- ugraden izolator petlje
- napredni dizajn optičke komore, zaštita od smetnji, dvostruka zaštita od prašine i insekata , zaštitna mrežica sa ultra-malim otvorima (500μm)
- trobojna LED vidljiva 360°
- mogucnost izbora osjetljivosti detektora i moda rada daljinski putem centrale
- radni napon minimalno u rasponu od 19 do 30 Vdc
- struja u mirovanju najviše 200 μA, struja u alarmu najviše 10 mA
- minimalno četiri stupnja osjetljivosti (0,08/0,1/0,12/0,15 dB/m)
- radna temperatura minimalno u rasponu od -5°C do +40°C
- mora biti sukladan normama HRN EN 54-7 i HRN EN 54-17 ili jednakovrijednima
</t>
    </r>
  </si>
  <si>
    <r>
      <t xml:space="preserve"> Dobava adresabilnog optičko-termičkog detektora požara s integriranim izolatorom petlje.</t>
    </r>
    <r>
      <rPr>
        <sz val="10"/>
        <color theme="1"/>
        <rFont val="Calibri"/>
        <family val="2"/>
        <scheme val="minor"/>
      </rPr>
      <t xml:space="preserve">
Dobava i isporuka adresabilnog optičko-termičkog detektora požara s integriranim izolatorom petlje sa sljedećim minimalnim tehničkim karakteristikama:
- niskoprofilni analogno adresabilni višekriterijski (optičkotermički) detektor požara
- dvobojna LED, crvena boja alarm, zelena-sporo bljeskanje standby, brzo
- bljeskanje: greška ili visok nivo zaprljanja
- potpuna dijagnostika stanja detektora: provjera ostalih vrijednosti u realnom vremenu
- ugrađen izolator petlje
- zaštita od smetnji, dvostruka zaštita od prašine i insekata
- radni napon minimalno u rasponu od 19 do 30 Vdc
- struja u mirovanju najviše 200 μA, struja u alarmu najviše 10 mA
- minimalno četiri stupnja osjetljivosti za detekciju dima (0,08/0,1/0,12/0,15 dB/m)
- minimalno četiri stupnja osjetljivosti termistora prema HRN EN 54 (A1R / B / BR / A2S)
- minimalno pet načina rada: PLUS, ILI, I, DIM, TOPLINA
- radna temperatura minimalno u rasponu od -5°C do +40°C
- mora biti sukladan normama HRN EN 54-5, HRN EN 54-7 i HRN EN 54-17 ili jednakovrijednima
</t>
    </r>
  </si>
  <si>
    <r>
      <t xml:space="preserve">Dobava podnožja za adresabilne detektore.
</t>
    </r>
    <r>
      <rPr>
        <sz val="10"/>
        <color theme="1"/>
        <rFont val="Calibri"/>
        <family val="2"/>
        <scheme val="minor"/>
      </rPr>
      <t xml:space="preserve">Dobava i isporuka podnožja za adresabilne detektore. Mora biti opremljeno sa kontaktom (mostom) koji osigurava neprekinutost linije prilikom skidanja detektora.
</t>
    </r>
  </si>
  <si>
    <r>
      <t xml:space="preserve"> Dobava odstojnika za nadžbuknu montažu.
</t>
    </r>
    <r>
      <rPr>
        <sz val="10"/>
        <color theme="1"/>
        <rFont val="Calibri"/>
        <family val="2"/>
        <scheme val="minor"/>
      </rPr>
      <t xml:space="preserve">Dobava i isporuka odstojnika za nadžbuknu montažu za montažu ispod podnožja detektora na pozicijama gdje nema spuštenog stropa.
</t>
    </r>
  </si>
  <si>
    <r>
      <t xml:space="preserve">Dobava adresabilnog ručnog javljača požara s integriranim izolatorom petlje.
</t>
    </r>
    <r>
      <rPr>
        <sz val="10"/>
        <color theme="1"/>
        <rFont val="Calibri"/>
        <family val="2"/>
        <scheme val="minor"/>
      </rPr>
      <t xml:space="preserve">Dobava i isporuka adresabilnog ručnog javljača požara s integriranim izolatorom petlje, bez razbijanja stakla, crvene boje, reset ključem, sljedećih minimalnih tehničkih karakteristika:
- mehanička vizualna indikacija aktivacije
- mora imati prozirni plastični element za aktivaciju koje se mora moći ručno vratiti u neutralan položaj, bez lomljenja i potrebe za zamjenom nakon svake aktivacije
- po naredbi iz adresabilne centrale šalje informaciju o stanju javljača
- ugrađen izolator petlje
- radni napon u rasponu od 9 do 30 Vdc
- struja u mirovanju najviše 80 μA, struja u alarmu najviše 5 mA
- radna temperatura minimalno u rasponu od -10°C do +55°C
- mora biti sukladan normama HRN EN 54-11 i HRN EN 54-17 ili jednakovrijednima
</t>
    </r>
  </si>
  <si>
    <r>
      <t>Dobava ulazno-izlaznih modula s 1 ulazom i 2 izlaza.</t>
    </r>
    <r>
      <rPr>
        <sz val="10"/>
        <color theme="1"/>
        <rFont val="Calibri"/>
        <family val="2"/>
        <scheme val="minor"/>
      </rPr>
      <t xml:space="preserve">
Dobava i isporuka ulazno-izlaznog modula s 1 ulazom i 2 izlaza
- mogućnost samoadresiranja
- najmanje 1 nadzirani ulaz
- najmanje 1 nadzirani izlaz
- najmanje 1 beznaponski izlaz 1A@30Vdc
- integriran izolator petlje
- radni napon u rasponu od 9 do 30 Vdc
- struja u mirovanju najviše 80 μA, struja u alarmu najviše 20 mA
- radna temperatura minimalno u rasponu od -5°C do +40°C
- mora biti sukladan normama HRN EN 54-17 i HRN EN 54-18 ili jednakovrijednima
</t>
    </r>
  </si>
  <si>
    <r>
      <t>Dobava ulazno-izlaznih modula s 4 ulaza i 4 izlaza.</t>
    </r>
    <r>
      <rPr>
        <sz val="10"/>
        <color theme="1"/>
        <rFont val="Calibri"/>
        <family val="2"/>
        <scheme val="minor"/>
      </rPr>
      <t xml:space="preserve">
Dobava i isporuka ulazno-izlaznog modula s 4 ulaza i 4 izlaza
- mogućnost samoadresiranja
- najmanje 4 nadzirana ulaza (najmanje 2 ulaza se mogu konfigurirati kao sučelje za konvencionalne linije ili sučelje za detektore s protokolom 4-20 mA)
- najmanje 4 beznaponska nadzirana izlaza, 1A@30Vdc
- integriran izolator petlje
- radni napon u rasponu od 9 do 30 Vdc
- struja u mirovanju najviše 80 μA, struja u alarmu najviše 20 mA
- radna temperatura minimalno u rasponu od -5°C do +40°C
- mora biti sukladan normama HRN EN 54-17 i HRN EN 54-18 ili jednakovrijednima
</t>
    </r>
  </si>
  <si>
    <r>
      <t xml:space="preserve"> Dobava nadžbukne kutije za ulazno-izlazni modul.
</t>
    </r>
    <r>
      <rPr>
        <sz val="10"/>
        <color theme="1"/>
        <rFont val="Calibri"/>
        <family val="2"/>
        <scheme val="minor"/>
      </rPr>
      <t xml:space="preserve">Dobava i isporuka nadžbukne kutije za ulazno-izlazni modul dim.150 x 150 x 75 mm ili sličnih.
</t>
    </r>
  </si>
  <si>
    <r>
      <t xml:space="preserve">Dobava adresabilne sirene napajane iz petlje.
</t>
    </r>
    <r>
      <rPr>
        <sz val="10"/>
        <color theme="1"/>
        <rFont val="Calibri"/>
        <family val="2"/>
        <scheme val="minor"/>
      </rPr>
      <t xml:space="preserve">Dobava i isporuka adresabilne sirene napajane iz petlje, niske potrošnje, sljedećih minimalnih tehničkih karakteristika:
- napajanje iz petlje ili preko vanjskog napajanja
- termoplastično kućište crvene boje
- izbor minimalno 14 tonova (putem zasebnog programatora ili centrale za dojavu požara)
- mogućnost sinkronizacije s ostalim sirenama u sustavu
- signalizacijska LED s mogućnošću mijenjanja boje
- glasnoća do 101 dB(A)@1m
- integriran izolator kratkog spoja (prema HRN EN 54-17)
- radni napon minimalno u rasponu od 20 do 30Vdc
- IP65 zaštita, pogodna za vanjsku ugradnju (IP21 prema HRN EN 54-3)
- struja mirovanja najviše 0,5 mA
- struja alarma najviše 5 mA
- radna temperatura -10°C do +55°C
- mora biti sukladna normama HRN EN 54-3, HRN EN 54-17, HRN EN 54-23 ili jednakovrijednima
</t>
    </r>
  </si>
  <si>
    <r>
      <t xml:space="preserve">Dobava adresabilne sirene s bljeskalicom napajana iz petlje.
</t>
    </r>
    <r>
      <rPr>
        <sz val="10"/>
        <color theme="1"/>
        <rFont val="Calibri"/>
        <family val="2"/>
        <scheme val="minor"/>
      </rPr>
      <t xml:space="preserve">Dobava i isporuka adresabilne sirene s bljeskalicom napajane iz petlje, sljedećih minimalnih tehničkih karakteristika:
- napajanje iz petlje ili preko vanjskog napajanja
- termoplastično kućište crvene boje
- izbor minimalno 14 tonova i 2 jačine bljeskanja (putem zasebnog programatora ili centrale za dojavu požara)
- svjetlosno pokrivanje bljeskalicom W = 3,5-10 (prema HRN EN 54-23)
- frekvencija bljeskanja 0,5 Hz
- mogućnost sinkronizacije s ostalim sirenama u sustavu
- signalizacijska LED dioda s mogućnošću mijenjanja boje
- glasnoća do 101 dB(A)@1m
- integriran izolator kratkog spoja (prema HRN EN 54-17)
- radni napon minimalno u rasponu od 18 do 30Vdc
- IP65 zaštita, pogodna za vanjsku ugradnju (IP21 prema HRN EN 54-3)
- struja mirovanja najviše 0,5 mA
- struja alarma najviše 45 mA
- radna temperatura -10°C do +55°C
- mora biti sukladna normama HRN EN 54-3, HRN EN 54-17, HRN EN 54-23 ili jednakovrijednima
</t>
    </r>
  </si>
  <si>
    <t xml:space="preserve">- mogućnost prikaza druge mape (navigacijski element)
- mogućnost obrade zaprimljenih alarma prema unaprijed definiranim pravilima
- mogućnost prikaza statusa i alarma svih detektora u sustavu protuprovale, statusa i alarma svih particija, kao i mogućnost upravljanja istima ukoliko za to postoje ovlasti (uključenje/isključenje)
- SQL Server baza podataka Enterprise, Express, ili Compact Edition
- dvosmjerna integracija sa trećim sustavima korištenjem SSH ili jednakovrijednog sučelja
</t>
  </si>
  <si>
    <r>
      <t xml:space="preserve">Dobava licence za spoj centrale za dojavu požara.
</t>
    </r>
    <r>
      <rPr>
        <sz val="10"/>
        <color theme="1"/>
        <rFont val="Calibri"/>
        <family val="2"/>
        <scheme val="minor"/>
      </rPr>
      <t xml:space="preserve">Dobava i isporuka licence za spoj centrale za dojavu požara na osnovnu aplikaciju za integraciju.
</t>
    </r>
  </si>
  <si>
    <r>
      <t xml:space="preserve">Dobava i polaganje negorivog vatrodojavnog kabela pretežno stropom u predviđene PK kanale ili instalacijske PNT cijevi
</t>
    </r>
    <r>
      <rPr>
        <sz val="10"/>
        <rFont val="Calibri"/>
        <family val="2"/>
        <scheme val="minor"/>
      </rPr>
      <t xml:space="preserve">Uključiv sav potreban instalacijski materijal
- aluminijski oklop, poboljšanih svojstava za slučaj požara,crvene boje
</t>
    </r>
  </si>
  <si>
    <r>
      <t xml:space="preserve">Dobava i polaganje negorivog napajačkog kabela pretežno stropom u predviđene PK kanale ili instalacijske PNT cijevi.
</t>
    </r>
    <r>
      <rPr>
        <sz val="10"/>
        <rFont val="Calibri"/>
        <family val="2"/>
        <scheme val="minor"/>
      </rPr>
      <t xml:space="preserve">Uljučivo sav potreban instalacijski materijal
- aluminijski oklop, poboljšanih svojstava za slučaj požara, s očuvanom el. funkcionalnošću između 30 i 90 min
</t>
    </r>
  </si>
  <si>
    <t>PDV</t>
  </si>
  <si>
    <t xml:space="preserve">UKUPNO           </t>
  </si>
  <si>
    <t xml:space="preserve">SVEUKUPNO    </t>
  </si>
  <si>
    <t>Ukupna cijena stavke</t>
  </si>
  <si>
    <t xml:space="preserve">CIJENA PONUDE BEZ PDV-A          </t>
  </si>
  <si>
    <t>SVEUKUPNO CIJENA PONUDE S PDV-OM</t>
  </si>
  <si>
    <t xml:space="preserve">CIJENA PONUDE BEZ PDV-A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</si>
</sst>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n&quot;"/>
  </numFmts>
  <fonts count="44" x14ac:knownFonts="1">
    <font>
      <sz val="11"/>
      <color theme="1"/>
      <name val="Calibri"/>
      <family val="2"/>
      <charset val="238"/>
      <scheme val="minor"/>
    </font>
    <font>
      <b/>
      <i/>
      <sz val="10"/>
      <name val="Calibri"/>
      <family val="2"/>
      <scheme val="minor"/>
    </font>
    <font>
      <sz val="10"/>
      <name val="Calibri"/>
      <family val="2"/>
      <scheme val="minor"/>
    </font>
    <font>
      <b/>
      <i/>
      <sz val="10"/>
      <color theme="1"/>
      <name val="Calibri"/>
      <family val="2"/>
      <scheme val="minor"/>
    </font>
    <font>
      <b/>
      <sz val="10"/>
      <name val="Calibri"/>
      <family val="2"/>
      <scheme val="minor"/>
    </font>
    <font>
      <b/>
      <sz val="10"/>
      <color theme="1"/>
      <name val="Calibri"/>
      <family val="2"/>
      <scheme val="minor"/>
    </font>
    <font>
      <sz val="10"/>
      <color theme="1"/>
      <name val="Calibri"/>
      <family val="2"/>
      <charset val="238"/>
      <scheme val="minor"/>
    </font>
    <font>
      <sz val="10"/>
      <color theme="1"/>
      <name val="Calibri"/>
      <family val="2"/>
      <scheme val="minor"/>
    </font>
    <font>
      <sz val="8"/>
      <name val="Calibri"/>
      <family val="2"/>
      <charset val="238"/>
      <scheme val="minor"/>
    </font>
    <font>
      <b/>
      <sz val="16"/>
      <color theme="1"/>
      <name val="Calibri"/>
      <family val="2"/>
      <scheme val="minor"/>
    </font>
    <font>
      <sz val="10"/>
      <color rgb="FF7030A0"/>
      <name val="Calibri"/>
      <family val="2"/>
      <charset val="238"/>
      <scheme val="minor"/>
    </font>
    <font>
      <sz val="10"/>
      <color rgb="FF00B050"/>
      <name val="Calibri"/>
      <family val="2"/>
      <charset val="238"/>
      <scheme val="minor"/>
    </font>
    <font>
      <sz val="10"/>
      <color theme="5"/>
      <name val="Calibri"/>
      <family val="2"/>
      <scheme val="minor"/>
    </font>
    <font>
      <sz val="10"/>
      <color rgb="FFFF0000"/>
      <name val="Calibri"/>
      <family val="2"/>
      <charset val="238"/>
      <scheme val="minor"/>
    </font>
    <font>
      <sz val="10"/>
      <name val="Calibri"/>
      <family val="2"/>
      <charset val="238"/>
      <scheme val="minor"/>
    </font>
    <font>
      <sz val="10"/>
      <color rgb="FFFF0000"/>
      <name val="Calibri"/>
      <family val="2"/>
      <scheme val="minor"/>
    </font>
    <font>
      <sz val="11"/>
      <color rgb="FFFF0000"/>
      <name val="Calibri"/>
      <family val="2"/>
      <scheme val="minor"/>
    </font>
    <font>
      <sz val="11"/>
      <color theme="5"/>
      <name val="Calibri"/>
      <family val="2"/>
      <scheme val="minor"/>
    </font>
    <font>
      <sz val="11"/>
      <color rgb="FF00B050"/>
      <name val="Calibri"/>
      <family val="2"/>
      <scheme val="minor"/>
    </font>
    <font>
      <sz val="10"/>
      <color rgb="FF00B050"/>
      <name val="Calibri"/>
      <family val="2"/>
      <scheme val="minor"/>
    </font>
    <font>
      <sz val="11"/>
      <color rgb="FF7030A0"/>
      <name val="Calibri"/>
      <family val="2"/>
      <scheme val="minor"/>
    </font>
    <font>
      <sz val="10"/>
      <color rgb="FF7030A0"/>
      <name val="Calibri"/>
      <family val="2"/>
      <scheme val="minor"/>
    </font>
    <font>
      <sz val="11"/>
      <color theme="7"/>
      <name val="Calibri"/>
      <family val="2"/>
      <scheme val="minor"/>
    </font>
    <font>
      <sz val="10"/>
      <color theme="7"/>
      <name val="Calibri"/>
      <family val="2"/>
      <scheme val="minor"/>
    </font>
    <font>
      <sz val="11"/>
      <color theme="7" tint="-0.499984740745262"/>
      <name val="Calibri"/>
      <family val="2"/>
      <scheme val="minor"/>
    </font>
    <font>
      <sz val="10"/>
      <color theme="7" tint="-0.499984740745262"/>
      <name val="Calibri"/>
      <family val="2"/>
      <scheme val="minor"/>
    </font>
    <font>
      <sz val="11"/>
      <color theme="4"/>
      <name val="Calibri"/>
      <family val="2"/>
      <scheme val="minor"/>
    </font>
    <font>
      <sz val="10"/>
      <color theme="4"/>
      <name val="Calibri"/>
      <family val="2"/>
      <scheme val="minor"/>
    </font>
    <font>
      <sz val="10"/>
      <color theme="7" tint="-0.249977111117893"/>
      <name val="Calibri"/>
      <family val="2"/>
      <charset val="238"/>
      <scheme val="minor"/>
    </font>
    <font>
      <b/>
      <sz val="11"/>
      <color theme="1"/>
      <name val="Calibri"/>
      <family val="2"/>
      <scheme val="minor"/>
    </font>
    <font>
      <b/>
      <sz val="14"/>
      <color theme="1"/>
      <name val="Calibri"/>
      <family val="2"/>
      <scheme val="minor"/>
    </font>
    <font>
      <b/>
      <sz val="11"/>
      <color rgb="FFC00000"/>
      <name val="Calibri"/>
      <family val="2"/>
      <scheme val="minor"/>
    </font>
    <font>
      <b/>
      <sz val="11"/>
      <color theme="9" tint="-0.249977111117893"/>
      <name val="Calibri"/>
      <family val="2"/>
      <scheme val="minor"/>
    </font>
    <font>
      <vertAlign val="superscript"/>
      <sz val="10"/>
      <name val="Calibri"/>
      <family val="2"/>
      <scheme val="minor"/>
    </font>
    <font>
      <b/>
      <sz val="11"/>
      <color theme="4"/>
      <name val="Calibri"/>
      <family val="2"/>
      <scheme val="minor"/>
    </font>
    <font>
      <sz val="10"/>
      <color rgb="FFC00000"/>
      <name val="Calibri"/>
      <family val="2"/>
      <charset val="238"/>
      <scheme val="minor"/>
    </font>
    <font>
      <b/>
      <sz val="14"/>
      <name val="Calibri"/>
      <family val="2"/>
      <scheme val="minor"/>
    </font>
    <font>
      <b/>
      <sz val="20"/>
      <color theme="1"/>
      <name val="Calibri"/>
      <family val="2"/>
      <scheme val="minor"/>
    </font>
    <font>
      <b/>
      <sz val="11"/>
      <name val="Calibri"/>
      <family val="2"/>
      <scheme val="minor"/>
    </font>
    <font>
      <i/>
      <sz val="9"/>
      <color theme="1"/>
      <name val="Calibri"/>
      <family val="2"/>
      <charset val="238"/>
      <scheme val="minor"/>
    </font>
    <font>
      <i/>
      <sz val="9"/>
      <color theme="1"/>
      <name val="Symbol"/>
      <family val="1"/>
      <charset val="238"/>
    </font>
    <font>
      <i/>
      <sz val="9"/>
      <color theme="1"/>
      <name val="Calibri"/>
      <family val="2"/>
      <scheme val="minor"/>
    </font>
    <font>
      <i/>
      <sz val="9"/>
      <color theme="1"/>
      <name val="Times New Roman"/>
      <family val="1"/>
    </font>
    <font>
      <b/>
      <i/>
      <sz val="9"/>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s>
  <borders count="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9">
    <xf numFmtId="0" fontId="0" fillId="0" borderId="0" xfId="0"/>
    <xf numFmtId="1" fontId="2" fillId="0" borderId="1" xfId="0" applyNumberFormat="1" applyFont="1" applyBorder="1" applyAlignment="1">
      <alignment horizontal="right" vertical="center"/>
    </xf>
    <xf numFmtId="1"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wrapText="1"/>
    </xf>
    <xf numFmtId="49"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xf numFmtId="49" fontId="7" fillId="0" borderId="1" xfId="0" applyNumberFormat="1" applyFont="1" applyBorder="1" applyAlignment="1">
      <alignment horizontal="left" vertical="center" wrapText="1"/>
    </xf>
    <xf numFmtId="1" fontId="2" fillId="0" borderId="0" xfId="0" applyNumberFormat="1" applyFont="1" applyAlignment="1">
      <alignment horizontal="right" vertical="center"/>
    </xf>
    <xf numFmtId="1" fontId="2" fillId="0" borderId="0" xfId="0" applyNumberFormat="1" applyFont="1" applyAlignment="1">
      <alignment horizontal="left" vertical="center"/>
    </xf>
    <xf numFmtId="49" fontId="6" fillId="0" borderId="0" xfId="0" applyNumberFormat="1" applyFont="1" applyAlignment="1">
      <alignment horizontal="left" vertical="center"/>
    </xf>
    <xf numFmtId="49" fontId="6" fillId="0" borderId="0" xfId="0" applyNumberFormat="1" applyFont="1" applyAlignment="1">
      <alignment horizontal="center" vertical="center"/>
    </xf>
    <xf numFmtId="4" fontId="6" fillId="0" borderId="0" xfId="0" applyNumberFormat="1" applyFont="1" applyAlignment="1">
      <alignment horizontal="center" vertical="center"/>
    </xf>
    <xf numFmtId="164" fontId="5" fillId="0" borderId="1" xfId="0" applyNumberFormat="1" applyFont="1" applyBorder="1" applyAlignment="1">
      <alignment horizontal="center" vertical="center"/>
    </xf>
    <xf numFmtId="164" fontId="6" fillId="0" borderId="0" xfId="0" applyNumberFormat="1" applyFont="1" applyAlignment="1">
      <alignment horizontal="center" vertical="center"/>
    </xf>
    <xf numFmtId="1" fontId="1" fillId="0" borderId="2" xfId="0" applyNumberFormat="1" applyFont="1" applyBorder="1" applyAlignment="1">
      <alignment horizontal="right" vertical="center" wrapText="1"/>
    </xf>
    <xf numFmtId="1" fontId="2" fillId="0" borderId="2" xfId="0" applyNumberFormat="1" applyFont="1" applyBorder="1" applyAlignment="1">
      <alignment horizontal="left" vertical="center" wrapText="1"/>
    </xf>
    <xf numFmtId="49" fontId="3" fillId="0" borderId="2" xfId="0" applyNumberFormat="1" applyFont="1" applyBorder="1" applyAlignment="1">
      <alignment horizontal="left" vertical="center"/>
    </xf>
    <xf numFmtId="49" fontId="3" fillId="0" borderId="2" xfId="0" applyNumberFormat="1" applyFont="1" applyBorder="1" applyAlignment="1">
      <alignment horizontal="center" vertical="center" wrapText="1"/>
    </xf>
    <xf numFmtId="4" fontId="3" fillId="0" borderId="2" xfId="0" applyNumberFormat="1" applyFont="1" applyBorder="1" applyAlignment="1">
      <alignment horizontal="center" vertical="center"/>
    </xf>
    <xf numFmtId="164" fontId="3"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xf>
    <xf numFmtId="1" fontId="2" fillId="0" borderId="2" xfId="0" applyNumberFormat="1" applyFont="1" applyBorder="1" applyAlignment="1">
      <alignment horizontal="right" vertical="center"/>
    </xf>
    <xf numFmtId="1" fontId="2" fillId="0" borderId="2" xfId="0" applyNumberFormat="1" applyFont="1" applyBorder="1" applyAlignment="1">
      <alignment horizontal="left" vertical="center"/>
    </xf>
    <xf numFmtId="49" fontId="2" fillId="0" borderId="2" xfId="0" applyNumberFormat="1" applyFont="1" applyBorder="1" applyAlignment="1">
      <alignment horizontal="left" vertical="center" wrapText="1"/>
    </xf>
    <xf numFmtId="49" fontId="6" fillId="0" borderId="2" xfId="0" applyNumberFormat="1" applyFont="1" applyBorder="1" applyAlignment="1">
      <alignment horizontal="center" vertical="center"/>
    </xf>
    <xf numFmtId="4" fontId="6" fillId="0" borderId="2" xfId="0" applyNumberFormat="1" applyFont="1" applyBorder="1" applyAlignment="1">
      <alignment horizontal="center" vertical="center"/>
    </xf>
    <xf numFmtId="164" fontId="6" fillId="0" borderId="2" xfId="0" applyNumberFormat="1" applyFont="1" applyBorder="1" applyAlignment="1">
      <alignment horizontal="center" vertical="center"/>
    </xf>
    <xf numFmtId="1" fontId="4" fillId="2" borderId="1" xfId="0" applyNumberFormat="1" applyFont="1" applyFill="1" applyBorder="1" applyAlignment="1">
      <alignment horizontal="right" vertical="center"/>
    </xf>
    <xf numFmtId="1" fontId="2"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xf>
    <xf numFmtId="49" fontId="6" fillId="2"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 fontId="2" fillId="0" borderId="3" xfId="0" applyNumberFormat="1" applyFont="1" applyBorder="1" applyAlignment="1">
      <alignment horizontal="right" vertical="center"/>
    </xf>
    <xf numFmtId="1" fontId="2" fillId="0" borderId="0" xfId="0" applyNumberFormat="1" applyFont="1" applyBorder="1" applyAlignment="1">
      <alignment horizontal="left" vertical="center"/>
    </xf>
    <xf numFmtId="49" fontId="7" fillId="0" borderId="3" xfId="0" applyNumberFormat="1" applyFont="1" applyBorder="1" applyAlignment="1">
      <alignment horizontal="left" vertical="center" wrapText="1"/>
    </xf>
    <xf numFmtId="49" fontId="6" fillId="0" borderId="3" xfId="0" applyNumberFormat="1" applyFont="1" applyBorder="1" applyAlignment="1">
      <alignment horizontal="center" vertical="center"/>
    </xf>
    <xf numFmtId="4" fontId="6" fillId="0" borderId="3" xfId="0" applyNumberFormat="1" applyFont="1" applyBorder="1" applyAlignment="1">
      <alignment horizontal="center" vertical="center"/>
    </xf>
    <xf numFmtId="164" fontId="6" fillId="0" borderId="3" xfId="0" applyNumberFormat="1" applyFont="1" applyBorder="1" applyAlignment="1">
      <alignment horizontal="center" vertical="center"/>
    </xf>
    <xf numFmtId="4" fontId="10" fillId="0" borderId="0" xfId="0" applyNumberFormat="1" applyFont="1" applyAlignment="1">
      <alignment horizontal="center" vertical="center"/>
    </xf>
    <xf numFmtId="4" fontId="11" fillId="0" borderId="0" xfId="0" applyNumberFormat="1" applyFont="1" applyAlignment="1">
      <alignment horizontal="center" vertical="center"/>
    </xf>
    <xf numFmtId="4" fontId="12" fillId="0" borderId="0" xfId="0" applyNumberFormat="1" applyFont="1" applyAlignment="1">
      <alignment horizontal="center" vertical="center"/>
    </xf>
    <xf numFmtId="4" fontId="13" fillId="0" borderId="0" xfId="0" applyNumberFormat="1" applyFont="1" applyAlignment="1">
      <alignment horizontal="center" vertical="center"/>
    </xf>
    <xf numFmtId="164" fontId="14" fillId="0" borderId="1" xfId="0" applyNumberFormat="1" applyFont="1" applyBorder="1" applyAlignment="1">
      <alignment horizontal="center" vertical="center"/>
    </xf>
    <xf numFmtId="49" fontId="4" fillId="0" borderId="1" xfId="0" applyNumberFormat="1" applyFont="1" applyBorder="1" applyAlignment="1">
      <alignment horizontal="left" vertical="center" wrapText="1"/>
    </xf>
    <xf numFmtId="49" fontId="4" fillId="2" borderId="1" xfId="0" applyNumberFormat="1" applyFont="1" applyFill="1" applyBorder="1" applyAlignment="1">
      <alignment horizontal="left" vertical="center"/>
    </xf>
    <xf numFmtId="4" fontId="14"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4" fontId="15" fillId="0" borderId="0" xfId="0" applyNumberFormat="1" applyFont="1" applyAlignment="1">
      <alignment horizontal="center" vertical="center"/>
    </xf>
    <xf numFmtId="0" fontId="6" fillId="0" borderId="0" xfId="0" applyFont="1" applyAlignment="1">
      <alignment horizontal="center" vertical="center"/>
    </xf>
    <xf numFmtId="0" fontId="15" fillId="0" borderId="0" xfId="0" applyFont="1" applyAlignment="1">
      <alignment horizontal="center" vertical="center"/>
    </xf>
    <xf numFmtId="4" fontId="12" fillId="0" borderId="0" xfId="0" applyNumberFormat="1" applyFont="1" applyAlignment="1">
      <alignment horizontal="center" vertical="center" wrapText="1"/>
    </xf>
    <xf numFmtId="0" fontId="16" fillId="0" borderId="0" xfId="0" applyFont="1"/>
    <xf numFmtId="4" fontId="15" fillId="0" borderId="0" xfId="0" applyNumberFormat="1" applyFont="1" applyAlignment="1">
      <alignment horizontal="center" vertical="center" wrapText="1"/>
    </xf>
    <xf numFmtId="0" fontId="17" fillId="0" borderId="0" xfId="0" applyFont="1"/>
    <xf numFmtId="0" fontId="18" fillId="0" borderId="0" xfId="0" applyFont="1"/>
    <xf numFmtId="4" fontId="19" fillId="0" borderId="0" xfId="0" applyNumberFormat="1" applyFont="1" applyAlignment="1">
      <alignment horizontal="center" vertical="center" wrapText="1"/>
    </xf>
    <xf numFmtId="4" fontId="19" fillId="0" borderId="0" xfId="0" applyNumberFormat="1" applyFont="1" applyAlignment="1">
      <alignment horizontal="center" vertical="center"/>
    </xf>
    <xf numFmtId="0" fontId="20" fillId="0" borderId="0" xfId="0" applyFont="1"/>
    <xf numFmtId="4" fontId="21" fillId="0" borderId="0" xfId="0" applyNumberFormat="1" applyFont="1" applyAlignment="1">
      <alignment horizontal="center" vertical="center" wrapText="1"/>
    </xf>
    <xf numFmtId="4" fontId="21" fillId="0" borderId="0" xfId="0" applyNumberFormat="1" applyFont="1" applyAlignment="1">
      <alignment horizontal="center" vertical="center"/>
    </xf>
    <xf numFmtId="4" fontId="23" fillId="0" borderId="0" xfId="0" applyNumberFormat="1" applyFont="1" applyAlignment="1">
      <alignment horizontal="center" vertical="center" wrapText="1"/>
    </xf>
    <xf numFmtId="4" fontId="23" fillId="0" borderId="0" xfId="0" applyNumberFormat="1" applyFont="1" applyAlignment="1">
      <alignment horizontal="center" vertical="center"/>
    </xf>
    <xf numFmtId="0" fontId="24" fillId="0" borderId="0" xfId="0" applyFont="1"/>
    <xf numFmtId="4" fontId="25" fillId="0" borderId="0" xfId="0" applyNumberFormat="1" applyFont="1" applyAlignment="1">
      <alignment horizontal="center" vertical="center" wrapText="1"/>
    </xf>
    <xf numFmtId="4" fontId="25" fillId="0" borderId="0" xfId="0" applyNumberFormat="1" applyFont="1" applyAlignment="1">
      <alignment horizontal="center" vertical="center"/>
    </xf>
    <xf numFmtId="4" fontId="27" fillId="0" borderId="0" xfId="0" applyNumberFormat="1" applyFont="1" applyAlignment="1">
      <alignment horizontal="center" vertical="center" wrapText="1"/>
    </xf>
    <xf numFmtId="4" fontId="27" fillId="0" borderId="0" xfId="0" applyNumberFormat="1" applyFont="1" applyAlignment="1">
      <alignment horizontal="center" vertical="center"/>
    </xf>
    <xf numFmtId="0" fontId="22" fillId="0" borderId="0" xfId="0" applyFont="1" applyAlignment="1">
      <alignment horizontal="center" vertical="center"/>
    </xf>
    <xf numFmtId="0" fontId="24" fillId="0" borderId="0" xfId="0" applyFont="1" applyAlignment="1">
      <alignment horizontal="center" vertical="center"/>
    </xf>
    <xf numFmtId="0" fontId="26" fillId="0" borderId="0" xfId="0" applyFont="1" applyAlignment="1">
      <alignment horizontal="center" vertical="center"/>
    </xf>
    <xf numFmtId="1" fontId="2" fillId="0" borderId="3" xfId="0" applyNumberFormat="1" applyFont="1" applyBorder="1" applyAlignment="1">
      <alignment horizontal="left" vertical="center"/>
    </xf>
    <xf numFmtId="49" fontId="2" fillId="0" borderId="3" xfId="0" applyNumberFormat="1" applyFont="1" applyBorder="1" applyAlignment="1">
      <alignment horizontal="left" vertical="center"/>
    </xf>
    <xf numFmtId="1" fontId="2" fillId="0" borderId="0" xfId="0" applyNumberFormat="1" applyFont="1" applyBorder="1" applyAlignment="1">
      <alignment horizontal="right" vertical="center"/>
    </xf>
    <xf numFmtId="49" fontId="2" fillId="0" borderId="0" xfId="0" applyNumberFormat="1" applyFont="1" applyBorder="1" applyAlignment="1">
      <alignment horizontal="left" vertical="center"/>
    </xf>
    <xf numFmtId="49" fontId="6" fillId="0" borderId="0" xfId="0" applyNumberFormat="1" applyFont="1" applyBorder="1" applyAlignment="1">
      <alignment horizontal="center" vertical="center"/>
    </xf>
    <xf numFmtId="4" fontId="6" fillId="0" borderId="0" xfId="0" applyNumberFormat="1" applyFont="1" applyBorder="1" applyAlignment="1">
      <alignment horizontal="center" vertical="center"/>
    </xf>
    <xf numFmtId="49" fontId="5" fillId="0" borderId="1" xfId="0" applyNumberFormat="1" applyFont="1" applyBorder="1" applyAlignment="1">
      <alignment horizontal="left" vertical="center" wrapText="1"/>
    </xf>
    <xf numFmtId="0" fontId="28" fillId="0" borderId="0" xfId="0" applyFont="1" applyAlignment="1">
      <alignment horizontal="center" vertical="center"/>
    </xf>
    <xf numFmtId="0" fontId="6" fillId="0" borderId="0" xfId="0" applyFont="1" applyFill="1" applyAlignment="1">
      <alignment horizontal="center" vertical="center"/>
    </xf>
    <xf numFmtId="49" fontId="7" fillId="0" borderId="0" xfId="0" applyNumberFormat="1" applyFont="1" applyAlignment="1">
      <alignment horizontal="left" vertical="center" wrapText="1"/>
    </xf>
    <xf numFmtId="164" fontId="0" fillId="0" borderId="0" xfId="0" applyNumberFormat="1"/>
    <xf numFmtId="0" fontId="0" fillId="0" borderId="0" xfId="0" applyAlignment="1">
      <alignment vertical="top"/>
    </xf>
    <xf numFmtId="164" fontId="0" fillId="0" borderId="0" xfId="0" applyNumberFormat="1" applyAlignment="1">
      <alignment vertical="top"/>
    </xf>
    <xf numFmtId="0" fontId="0" fillId="0" borderId="0" xfId="0" applyAlignment="1">
      <alignment vertical="top" wrapText="1"/>
    </xf>
    <xf numFmtId="164" fontId="0" fillId="0" borderId="0" xfId="0" applyNumberFormat="1" applyAlignment="1">
      <alignment horizontal="center" vertical="center"/>
    </xf>
    <xf numFmtId="0" fontId="29" fillId="0" borderId="0" xfId="0" applyFont="1" applyAlignment="1">
      <alignment horizontal="right" vertical="top"/>
    </xf>
    <xf numFmtId="164" fontId="29" fillId="0" borderId="0" xfId="0" applyNumberFormat="1" applyFont="1" applyAlignment="1">
      <alignment vertical="top"/>
    </xf>
    <xf numFmtId="164" fontId="32" fillId="0" borderId="0" xfId="0" applyNumberFormat="1" applyFont="1"/>
    <xf numFmtId="164" fontId="32" fillId="0" borderId="0" xfId="0" applyNumberFormat="1" applyFont="1" applyAlignment="1">
      <alignment horizontal="right" vertical="top"/>
    </xf>
    <xf numFmtId="164"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22" fillId="0" borderId="0" xfId="0" applyFont="1" applyBorder="1" applyAlignment="1">
      <alignment horizontal="center" vertical="center"/>
    </xf>
    <xf numFmtId="4" fontId="23" fillId="0" borderId="0" xfId="0" applyNumberFormat="1" applyFont="1" applyBorder="1" applyAlignment="1">
      <alignment horizontal="center" vertical="center" wrapText="1"/>
    </xf>
    <xf numFmtId="4" fontId="23" fillId="0" borderId="0" xfId="0" applyNumberFormat="1" applyFont="1" applyBorder="1" applyAlignment="1">
      <alignment horizontal="center" vertical="center"/>
    </xf>
    <xf numFmtId="0" fontId="22" fillId="0" borderId="0" xfId="0" applyFont="1" applyBorder="1"/>
    <xf numFmtId="4" fontId="23" fillId="0" borderId="0" xfId="0" applyNumberFormat="1" applyFont="1" applyBorder="1" applyAlignment="1">
      <alignment horizontal="center" vertical="center"/>
    </xf>
    <xf numFmtId="49" fontId="5" fillId="0" borderId="3"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4" fontId="23" fillId="0" borderId="0" xfId="0" applyNumberFormat="1" applyFont="1" applyBorder="1" applyAlignment="1">
      <alignment vertical="center"/>
    </xf>
    <xf numFmtId="49" fontId="6" fillId="0" borderId="3" xfId="0" applyNumberFormat="1" applyFont="1" applyBorder="1" applyAlignment="1">
      <alignment horizontal="center" vertical="center"/>
    </xf>
    <xf numFmtId="4" fontId="6" fillId="0" borderId="3" xfId="0" applyNumberFormat="1" applyFont="1" applyBorder="1" applyAlignment="1">
      <alignment horizontal="center" vertical="center"/>
    </xf>
    <xf numFmtId="164" fontId="6" fillId="0" borderId="3" xfId="0" applyNumberFormat="1" applyFont="1" applyBorder="1" applyAlignment="1">
      <alignment horizontal="center" vertical="center"/>
    </xf>
    <xf numFmtId="49" fontId="6" fillId="0" borderId="2" xfId="0" applyNumberFormat="1" applyFont="1" applyBorder="1" applyAlignment="1">
      <alignment horizontal="center" vertical="center"/>
    </xf>
    <xf numFmtId="164" fontId="6" fillId="0" borderId="2" xfId="0" applyNumberFormat="1" applyFont="1" applyBorder="1" applyAlignment="1">
      <alignment horizontal="center" vertical="center"/>
    </xf>
    <xf numFmtId="0" fontId="2" fillId="0" borderId="0" xfId="0" applyFont="1" applyAlignment="1">
      <alignment horizontal="center" vertical="center"/>
    </xf>
    <xf numFmtId="4" fontId="2" fillId="0" borderId="0" xfId="0" applyNumberFormat="1" applyFont="1" applyAlignment="1">
      <alignment horizontal="center" vertical="center"/>
    </xf>
    <xf numFmtId="164" fontId="2" fillId="0" borderId="0" xfId="0" applyNumberFormat="1" applyFont="1" applyAlignment="1">
      <alignment horizontal="center" vertical="center"/>
    </xf>
    <xf numFmtId="164" fontId="34" fillId="0" borderId="0" xfId="0" applyNumberFormat="1" applyFont="1" applyAlignment="1">
      <alignment vertical="top"/>
    </xf>
    <xf numFmtId="164" fontId="31" fillId="0" borderId="0" xfId="0" applyNumberFormat="1" applyFont="1" applyAlignment="1">
      <alignment horizontal="right" vertical="top"/>
    </xf>
    <xf numFmtId="0" fontId="15" fillId="0" borderId="0" xfId="0" applyFont="1" applyFill="1" applyAlignment="1">
      <alignment horizontal="center" vertical="center"/>
    </xf>
    <xf numFmtId="164" fontId="6" fillId="0" borderId="0" xfId="0" applyNumberFormat="1" applyFont="1" applyFill="1" applyAlignment="1">
      <alignment horizontal="center" vertical="center"/>
    </xf>
    <xf numFmtId="0" fontId="35" fillId="0" borderId="0" xfId="0" applyFont="1" applyFill="1" applyAlignment="1">
      <alignment horizontal="center" vertical="center"/>
    </xf>
    <xf numFmtId="0" fontId="2" fillId="0" borderId="0" xfId="0" applyFont="1" applyFill="1" applyAlignment="1">
      <alignment horizontal="center" vertical="center"/>
    </xf>
    <xf numFmtId="164" fontId="2" fillId="0" borderId="0" xfId="0" applyNumberFormat="1" applyFont="1" applyFill="1" applyAlignment="1">
      <alignment horizontal="center" vertical="center"/>
    </xf>
    <xf numFmtId="0" fontId="0" fillId="0" borderId="0" xfId="0" applyFill="1"/>
    <xf numFmtId="0" fontId="16" fillId="0" borderId="0" xfId="0" applyFont="1" applyFill="1"/>
    <xf numFmtId="4" fontId="15" fillId="0" borderId="0" xfId="0" applyNumberFormat="1" applyFont="1" applyFill="1" applyAlignment="1">
      <alignment horizontal="center" vertical="center" wrapText="1"/>
    </xf>
    <xf numFmtId="4" fontId="15" fillId="0" borderId="0" xfId="0" applyNumberFormat="1" applyFont="1" applyFill="1" applyAlignment="1">
      <alignment horizontal="center" vertical="center"/>
    </xf>
    <xf numFmtId="49"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xf numFmtId="4" fontId="23" fillId="0" borderId="0" xfId="0" applyNumberFormat="1" applyFont="1" applyBorder="1" applyAlignment="1">
      <alignment horizontal="center" vertical="center"/>
    </xf>
    <xf numFmtId="164" fontId="6" fillId="0" borderId="3" xfId="0" applyNumberFormat="1" applyFont="1" applyBorder="1" applyAlignment="1">
      <alignment horizontal="center" vertical="center"/>
    </xf>
    <xf numFmtId="164"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2" xfId="0" applyNumberFormat="1" applyFont="1" applyBorder="1" applyAlignment="1">
      <alignment horizontal="center" vertical="center"/>
    </xf>
    <xf numFmtId="4" fontId="6" fillId="0" borderId="3" xfId="0" applyNumberFormat="1" applyFont="1" applyBorder="1" applyAlignment="1">
      <alignment horizontal="center" vertical="center"/>
    </xf>
    <xf numFmtId="4" fontId="6" fillId="0" borderId="2" xfId="0" applyNumberFormat="1" applyFont="1" applyBorder="1" applyAlignment="1">
      <alignment horizontal="center" vertical="center"/>
    </xf>
    <xf numFmtId="4" fontId="23" fillId="0" borderId="0" xfId="0" applyNumberFormat="1" applyFont="1" applyBorder="1" applyAlignment="1">
      <alignment horizontal="center" vertical="center"/>
    </xf>
    <xf numFmtId="49"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xf numFmtId="164" fontId="6" fillId="0" borderId="3" xfId="0" applyNumberFormat="1" applyFont="1" applyBorder="1" applyAlignment="1">
      <alignment horizontal="center" vertical="center"/>
    </xf>
    <xf numFmtId="164"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2" xfId="0" applyNumberFormat="1" applyFont="1" applyBorder="1" applyAlignment="1">
      <alignment horizontal="center" vertical="center"/>
    </xf>
    <xf numFmtId="4" fontId="6" fillId="0" borderId="3" xfId="0" applyNumberFormat="1" applyFont="1" applyBorder="1" applyAlignment="1">
      <alignment horizontal="center" vertical="center"/>
    </xf>
    <xf numFmtId="49" fontId="5" fillId="0" borderId="3" xfId="0" applyNumberFormat="1" applyFont="1" applyBorder="1" applyAlignment="1">
      <alignment horizontal="left" wrapText="1"/>
    </xf>
    <xf numFmtId="49" fontId="7" fillId="0" borderId="2" xfId="0" applyNumberFormat="1" applyFont="1" applyBorder="1" applyAlignment="1">
      <alignment horizontal="left" vertical="top" wrapText="1"/>
    </xf>
    <xf numFmtId="49" fontId="6" fillId="0" borderId="2" xfId="0" applyNumberFormat="1" applyFont="1" applyBorder="1" applyAlignment="1">
      <alignment vertical="center"/>
    </xf>
    <xf numFmtId="4" fontId="6" fillId="0" borderId="2" xfId="0" applyNumberFormat="1" applyFont="1" applyBorder="1" applyAlignment="1">
      <alignment vertical="center"/>
    </xf>
    <xf numFmtId="164" fontId="6" fillId="0" borderId="2" xfId="0" applyNumberFormat="1" applyFont="1" applyBorder="1" applyAlignment="1">
      <alignment vertical="center"/>
    </xf>
    <xf numFmtId="49" fontId="6" fillId="0" borderId="3" xfId="0" applyNumberFormat="1" applyFont="1" applyBorder="1" applyAlignment="1"/>
    <xf numFmtId="4" fontId="6" fillId="0" borderId="3" xfId="0" applyNumberFormat="1" applyFont="1" applyBorder="1" applyAlignment="1"/>
    <xf numFmtId="164" fontId="6" fillId="0" borderId="3" xfId="0" applyNumberFormat="1" applyFont="1" applyBorder="1" applyAlignment="1"/>
    <xf numFmtId="1" fontId="2" fillId="0" borderId="3" xfId="0" applyNumberFormat="1" applyFont="1" applyBorder="1" applyAlignment="1"/>
    <xf numFmtId="49" fontId="6" fillId="0" borderId="3" xfId="0" applyNumberFormat="1" applyFont="1" applyBorder="1" applyAlignment="1">
      <alignment vertical="center"/>
    </xf>
    <xf numFmtId="4" fontId="6" fillId="0" borderId="3" xfId="0" applyNumberFormat="1" applyFont="1" applyBorder="1" applyAlignment="1">
      <alignment vertical="center"/>
    </xf>
    <xf numFmtId="164" fontId="6" fillId="0" borderId="3" xfId="0" applyNumberFormat="1" applyFont="1" applyBorder="1" applyAlignment="1">
      <alignment vertical="center"/>
    </xf>
    <xf numFmtId="1" fontId="2" fillId="0" borderId="3" xfId="0" applyNumberFormat="1" applyFont="1" applyBorder="1" applyAlignment="1">
      <alignment vertical="center"/>
    </xf>
    <xf numFmtId="1" fontId="2" fillId="0" borderId="2" xfId="0" applyNumberFormat="1" applyFont="1" applyBorder="1" applyAlignment="1">
      <alignment vertical="center"/>
    </xf>
    <xf numFmtId="49" fontId="6" fillId="0" borderId="3" xfId="0" applyNumberFormat="1" applyFont="1" applyBorder="1" applyAlignment="1">
      <alignment horizontal="center"/>
    </xf>
    <xf numFmtId="0" fontId="15" fillId="0" borderId="0" xfId="0" applyFont="1" applyFill="1" applyAlignment="1">
      <alignment horizontal="center"/>
    </xf>
    <xf numFmtId="1" fontId="2" fillId="0" borderId="3" xfId="0" applyNumberFormat="1" applyFont="1" applyBorder="1" applyAlignment="1">
      <alignment horizontal="right"/>
    </xf>
    <xf numFmtId="1" fontId="2" fillId="0" borderId="3" xfId="0" applyNumberFormat="1" applyFont="1" applyBorder="1" applyAlignment="1">
      <alignment horizontal="left"/>
    </xf>
    <xf numFmtId="4" fontId="6" fillId="0" borderId="3" xfId="0" applyNumberFormat="1" applyFont="1" applyBorder="1" applyAlignment="1">
      <alignment horizontal="center"/>
    </xf>
    <xf numFmtId="164" fontId="6" fillId="0" borderId="3" xfId="0" applyNumberFormat="1" applyFont="1" applyBorder="1" applyAlignment="1">
      <alignment horizontal="center"/>
    </xf>
    <xf numFmtId="4" fontId="23" fillId="0" borderId="0" xfId="0" applyNumberFormat="1" applyFont="1" applyBorder="1" applyAlignment="1">
      <alignment horizontal="center" vertical="center"/>
    </xf>
    <xf numFmtId="49"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xf numFmtId="164" fontId="6" fillId="0" borderId="3" xfId="0" applyNumberFormat="1" applyFont="1" applyBorder="1" applyAlignment="1">
      <alignment horizontal="center" vertical="center"/>
    </xf>
    <xf numFmtId="164" fontId="6" fillId="0" borderId="2" xfId="0" applyNumberFormat="1" applyFont="1" applyBorder="1" applyAlignment="1">
      <alignment horizontal="center" vertical="center"/>
    </xf>
    <xf numFmtId="49" fontId="6" fillId="0" borderId="2" xfId="0" applyNumberFormat="1" applyFont="1" applyBorder="1" applyAlignment="1">
      <alignment horizontal="center" vertical="center"/>
    </xf>
    <xf numFmtId="4" fontId="6" fillId="0" borderId="2" xfId="0" applyNumberFormat="1" applyFont="1" applyBorder="1" applyAlignment="1">
      <alignment horizontal="center" vertical="center"/>
    </xf>
    <xf numFmtId="164" fontId="6" fillId="0" borderId="0" xfId="0" applyNumberFormat="1" applyFont="1" applyBorder="1" applyAlignment="1">
      <alignment horizontal="center" vertical="center"/>
    </xf>
    <xf numFmtId="1" fontId="2" fillId="0" borderId="3" xfId="0" applyNumberFormat="1" applyFont="1" applyBorder="1"/>
    <xf numFmtId="49" fontId="6" fillId="0" borderId="3" xfId="0" applyNumberFormat="1" applyFont="1" applyBorder="1"/>
    <xf numFmtId="4" fontId="6" fillId="0" borderId="3" xfId="0" applyNumberFormat="1" applyFont="1" applyBorder="1"/>
    <xf numFmtId="164" fontId="6" fillId="0" borderId="3" xfId="0" applyNumberFormat="1" applyFont="1" applyBorder="1"/>
    <xf numFmtId="4" fontId="23" fillId="0" borderId="0" xfId="0" applyNumberFormat="1" applyFont="1" applyAlignment="1">
      <alignment vertical="center"/>
    </xf>
    <xf numFmtId="1" fontId="1" fillId="0" borderId="2" xfId="0" applyNumberFormat="1" applyFont="1" applyBorder="1" applyAlignment="1">
      <alignment horizontal="center" vertical="center" wrapText="1"/>
    </xf>
    <xf numFmtId="1" fontId="4" fillId="0" borderId="1" xfId="0" applyNumberFormat="1" applyFont="1" applyFill="1" applyBorder="1" applyAlignment="1">
      <alignment horizontal="left" vertical="top"/>
    </xf>
    <xf numFmtId="49" fontId="7" fillId="0" borderId="1" xfId="0" applyNumberFormat="1" applyFont="1" applyFill="1" applyBorder="1" applyAlignment="1">
      <alignment horizontal="left" vertical="top" wrapText="1"/>
    </xf>
    <xf numFmtId="49" fontId="6" fillId="0" borderId="0" xfId="0" applyNumberFormat="1" applyFont="1" applyAlignment="1">
      <alignment horizontal="right" vertical="center"/>
    </xf>
    <xf numFmtId="164" fontId="6" fillId="0" borderId="0" xfId="0" applyNumberFormat="1" applyFont="1" applyAlignment="1">
      <alignment horizontal="right"/>
    </xf>
    <xf numFmtId="164" fontId="6" fillId="2" borderId="1" xfId="0" applyNumberFormat="1" applyFont="1" applyFill="1" applyBorder="1" applyAlignment="1">
      <alignment horizontal="right"/>
    </xf>
    <xf numFmtId="164" fontId="6" fillId="0" borderId="1" xfId="0" applyNumberFormat="1" applyFont="1" applyBorder="1" applyAlignment="1">
      <alignment horizontal="right"/>
    </xf>
    <xf numFmtId="49" fontId="5" fillId="2" borderId="1" xfId="0" applyNumberFormat="1" applyFont="1" applyFill="1" applyBorder="1" applyAlignment="1">
      <alignment horizontal="right" vertical="center"/>
    </xf>
    <xf numFmtId="164" fontId="6" fillId="0" borderId="1" xfId="0" applyNumberFormat="1" applyFont="1" applyFill="1" applyBorder="1" applyAlignment="1">
      <alignment horizontal="right"/>
    </xf>
    <xf numFmtId="164" fontId="5" fillId="2" borderId="1" xfId="0" applyNumberFormat="1" applyFont="1" applyFill="1" applyBorder="1" applyAlignment="1">
      <alignment horizontal="right"/>
    </xf>
    <xf numFmtId="4" fontId="23" fillId="0" borderId="0" xfId="0" applyNumberFormat="1" applyFont="1" applyBorder="1" applyAlignment="1">
      <alignment horizontal="center" vertical="center"/>
    </xf>
    <xf numFmtId="49"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xf numFmtId="49" fontId="6" fillId="0" borderId="3" xfId="0" applyNumberFormat="1" applyFont="1" applyBorder="1" applyAlignment="1">
      <alignment horizontal="center" vertical="center"/>
    </xf>
    <xf numFmtId="4" fontId="6" fillId="0" borderId="3" xfId="0" applyNumberFormat="1" applyFont="1" applyBorder="1" applyAlignment="1">
      <alignment horizontal="center" vertical="center"/>
    </xf>
    <xf numFmtId="1" fontId="4" fillId="0" borderId="0" xfId="0" applyNumberFormat="1" applyFont="1" applyFill="1" applyBorder="1" applyAlignment="1">
      <alignment horizontal="left" vertical="center"/>
    </xf>
    <xf numFmtId="164" fontId="5" fillId="0" borderId="0" xfId="0" applyNumberFormat="1" applyFont="1" applyFill="1" applyBorder="1" applyAlignment="1">
      <alignment horizontal="right"/>
    </xf>
    <xf numFmtId="164" fontId="5" fillId="0" borderId="2" xfId="0" applyNumberFormat="1" applyFont="1" applyFill="1" applyBorder="1" applyAlignment="1">
      <alignment horizontal="right"/>
    </xf>
    <xf numFmtId="1" fontId="4" fillId="0" borderId="3" xfId="0" applyNumberFormat="1" applyFont="1" applyFill="1" applyBorder="1" applyAlignment="1">
      <alignment horizontal="left" vertical="center"/>
    </xf>
    <xf numFmtId="164" fontId="5" fillId="0" borderId="3" xfId="0" applyNumberFormat="1" applyFont="1" applyFill="1" applyBorder="1" applyAlignment="1">
      <alignment horizontal="right"/>
    </xf>
    <xf numFmtId="1" fontId="4" fillId="0" borderId="2" xfId="0" applyNumberFormat="1" applyFont="1" applyFill="1" applyBorder="1" applyAlignment="1">
      <alignment horizontal="right" vertical="center"/>
    </xf>
    <xf numFmtId="49" fontId="5" fillId="0" borderId="2" xfId="0" applyNumberFormat="1" applyFont="1" applyFill="1" applyBorder="1" applyAlignment="1">
      <alignment horizontal="left" vertical="center"/>
    </xf>
    <xf numFmtId="49" fontId="5" fillId="0" borderId="2" xfId="0" applyNumberFormat="1" applyFont="1" applyFill="1" applyBorder="1" applyAlignment="1">
      <alignment horizontal="right" vertical="center"/>
    </xf>
    <xf numFmtId="49" fontId="29" fillId="2" borderId="1" xfId="0" applyNumberFormat="1" applyFont="1" applyFill="1" applyBorder="1" applyAlignment="1">
      <alignment horizontal="left" vertical="center"/>
    </xf>
    <xf numFmtId="1" fontId="38" fillId="2" borderId="1" xfId="0" applyNumberFormat="1" applyFont="1" applyFill="1" applyBorder="1" applyAlignment="1">
      <alignment horizontal="left" vertical="center"/>
    </xf>
    <xf numFmtId="0" fontId="39" fillId="0" borderId="0" xfId="0" applyFont="1" applyBorder="1" applyAlignment="1">
      <alignment horizontal="left" vertical="center"/>
    </xf>
    <xf numFmtId="0" fontId="39" fillId="0" borderId="0" xfId="0" applyFont="1" applyAlignment="1">
      <alignment horizontal="left" vertical="center"/>
    </xf>
    <xf numFmtId="0" fontId="40" fillId="0" borderId="0" xfId="0" applyFont="1" applyBorder="1" applyAlignment="1">
      <alignment horizontal="left" vertical="center"/>
    </xf>
    <xf numFmtId="0" fontId="39" fillId="0" borderId="0" xfId="0" applyFont="1" applyBorder="1" applyAlignment="1">
      <alignment horizontal="left" vertical="center" wrapText="1"/>
    </xf>
    <xf numFmtId="0" fontId="40" fillId="0" borderId="0" xfId="0" applyFont="1" applyBorder="1" applyAlignment="1">
      <alignment horizontal="left" vertical="center" wrapText="1"/>
    </xf>
    <xf numFmtId="0" fontId="39" fillId="0" borderId="0" xfId="0" applyFont="1" applyBorder="1" applyAlignment="1">
      <alignment horizontal="left"/>
    </xf>
    <xf numFmtId="0" fontId="39" fillId="0" borderId="0" xfId="0" applyFont="1" applyAlignment="1">
      <alignment horizontal="left"/>
    </xf>
    <xf numFmtId="0" fontId="43" fillId="0" borderId="0" xfId="0" applyFont="1" applyBorder="1" applyAlignment="1">
      <alignment horizontal="left" vertical="center"/>
    </xf>
    <xf numFmtId="164" fontId="6" fillId="0" borderId="1" xfId="0" applyNumberFormat="1" applyFont="1" applyBorder="1" applyAlignment="1">
      <alignment horizontal="center" vertical="center"/>
    </xf>
    <xf numFmtId="1" fontId="4" fillId="3" borderId="1" xfId="0" applyNumberFormat="1" applyFont="1" applyFill="1" applyBorder="1" applyAlignment="1">
      <alignment horizontal="left" vertical="top"/>
    </xf>
    <xf numFmtId="49" fontId="7" fillId="3" borderId="1" xfId="0" applyNumberFormat="1" applyFont="1" applyFill="1" applyBorder="1" applyAlignment="1">
      <alignment horizontal="left" vertical="top" wrapText="1"/>
    </xf>
    <xf numFmtId="164" fontId="6" fillId="3" borderId="1" xfId="0" applyNumberFormat="1" applyFont="1" applyFill="1" applyBorder="1" applyAlignment="1">
      <alignment horizontal="right"/>
    </xf>
    <xf numFmtId="164" fontId="6" fillId="0" borderId="1" xfId="0" applyNumberFormat="1" applyFont="1" applyBorder="1" applyAlignment="1">
      <alignment horizontal="center" vertical="center"/>
    </xf>
    <xf numFmtId="1" fontId="2" fillId="3" borderId="0" xfId="0" applyNumberFormat="1" applyFont="1" applyFill="1" applyAlignment="1">
      <alignment horizontal="right" vertical="center"/>
    </xf>
    <xf numFmtId="1" fontId="2" fillId="3" borderId="0" xfId="0" applyNumberFormat="1" applyFont="1" applyFill="1" applyAlignment="1">
      <alignment horizontal="left" vertical="center"/>
    </xf>
    <xf numFmtId="49" fontId="6" fillId="3" borderId="0" xfId="0" applyNumberFormat="1" applyFont="1" applyFill="1" applyAlignment="1">
      <alignment horizontal="left" vertical="center"/>
    </xf>
    <xf numFmtId="49" fontId="6" fillId="3" borderId="0" xfId="0" applyNumberFormat="1" applyFont="1" applyFill="1" applyAlignment="1">
      <alignment horizontal="center" vertical="center"/>
    </xf>
    <xf numFmtId="4" fontId="6" fillId="3" borderId="0" xfId="0" applyNumberFormat="1" applyFont="1" applyFill="1" applyAlignment="1">
      <alignment horizontal="center" vertical="center"/>
    </xf>
    <xf numFmtId="164" fontId="6" fillId="3" borderId="0" xfId="0" applyNumberFormat="1" applyFont="1" applyFill="1" applyAlignment="1">
      <alignment horizontal="center" vertical="center"/>
    </xf>
    <xf numFmtId="1" fontId="1" fillId="3" borderId="2" xfId="0" applyNumberFormat="1" applyFont="1" applyFill="1" applyBorder="1" applyAlignment="1">
      <alignment horizontal="right" vertical="center" wrapText="1"/>
    </xf>
    <xf numFmtId="1" fontId="2" fillId="3" borderId="2"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xf>
    <xf numFmtId="49" fontId="3" fillId="3" borderId="2" xfId="0" applyNumberFormat="1" applyFont="1" applyFill="1" applyBorder="1" applyAlignment="1">
      <alignment horizontal="center" vertical="center" wrapText="1"/>
    </xf>
    <xf numFmtId="4" fontId="3" fillId="3" borderId="2" xfId="0" applyNumberFormat="1" applyFont="1" applyFill="1" applyBorder="1" applyAlignment="1">
      <alignment horizontal="center" vertical="center"/>
    </xf>
    <xf numFmtId="164" fontId="3" fillId="3" borderId="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xf>
    <xf numFmtId="1" fontId="4" fillId="3" borderId="1" xfId="0" applyNumberFormat="1" applyFont="1" applyFill="1" applyBorder="1" applyAlignment="1">
      <alignment horizontal="right" vertical="center"/>
    </xf>
    <xf numFmtId="1" fontId="2" fillId="3" borderId="1" xfId="0" applyNumberFormat="1" applyFont="1" applyFill="1" applyBorder="1" applyAlignment="1">
      <alignment horizontal="left" vertical="center"/>
    </xf>
    <xf numFmtId="49" fontId="5" fillId="3" borderId="1" xfId="0" applyNumberFormat="1" applyFont="1" applyFill="1" applyBorder="1" applyAlignment="1">
      <alignment horizontal="left" vertical="center"/>
    </xf>
    <xf numFmtId="49" fontId="6" fillId="3" borderId="1" xfId="0" applyNumberFormat="1" applyFont="1" applyFill="1" applyBorder="1" applyAlignment="1">
      <alignment horizontal="center" vertical="center"/>
    </xf>
    <xf numFmtId="4" fontId="6" fillId="3" borderId="1" xfId="0" applyNumberFormat="1" applyFont="1" applyFill="1" applyBorder="1" applyAlignment="1">
      <alignment horizontal="center" vertical="center"/>
    </xf>
    <xf numFmtId="164" fontId="6" fillId="3" borderId="1" xfId="0" applyNumberFormat="1" applyFont="1" applyFill="1" applyBorder="1" applyAlignment="1">
      <alignment horizontal="center" vertical="center"/>
    </xf>
    <xf numFmtId="1" fontId="2" fillId="3" borderId="1" xfId="0" applyNumberFormat="1" applyFont="1" applyFill="1" applyBorder="1" applyAlignment="1">
      <alignment horizontal="right" vertical="center"/>
    </xf>
    <xf numFmtId="49" fontId="2" fillId="3" borderId="1" xfId="0" applyNumberFormat="1" applyFont="1" applyFill="1" applyBorder="1" applyAlignment="1">
      <alignment horizontal="left" vertical="center" wrapText="1"/>
    </xf>
    <xf numFmtId="164" fontId="14" fillId="3" borderId="1" xfId="0" applyNumberFormat="1" applyFont="1" applyFill="1" applyBorder="1" applyAlignment="1">
      <alignment horizontal="center" vertical="center"/>
    </xf>
    <xf numFmtId="49" fontId="4" fillId="3" borderId="1" xfId="0" applyNumberFormat="1" applyFont="1" applyFill="1" applyBorder="1" applyAlignment="1">
      <alignment horizontal="left" vertical="center"/>
    </xf>
    <xf numFmtId="49" fontId="4" fillId="3" borderId="1" xfId="0" applyNumberFormat="1" applyFont="1" applyFill="1" applyBorder="1" applyAlignment="1">
      <alignment horizontal="left" vertical="center" wrapText="1"/>
    </xf>
    <xf numFmtId="4" fontId="14" fillId="3" borderId="1" xfId="0" applyNumberFormat="1" applyFont="1" applyFill="1" applyBorder="1" applyAlignment="1">
      <alignment horizontal="center" vertical="center"/>
    </xf>
    <xf numFmtId="49" fontId="7" fillId="3" borderId="0" xfId="0" applyNumberFormat="1" applyFont="1" applyFill="1" applyAlignment="1">
      <alignment horizontal="left" vertical="center" wrapText="1"/>
    </xf>
    <xf numFmtId="49" fontId="5" fillId="3" borderId="1" xfId="0" applyNumberFormat="1" applyFont="1" applyFill="1" applyBorder="1" applyAlignment="1">
      <alignment horizontal="left" vertical="center" wrapText="1"/>
    </xf>
    <xf numFmtId="1" fontId="2" fillId="3" borderId="3" xfId="0" applyNumberFormat="1" applyFont="1" applyFill="1" applyBorder="1"/>
    <xf numFmtId="49" fontId="5" fillId="3" borderId="3" xfId="0" applyNumberFormat="1" applyFont="1" applyFill="1" applyBorder="1" applyAlignment="1">
      <alignment horizontal="left" wrapText="1"/>
    </xf>
    <xf numFmtId="49" fontId="6" fillId="3" borderId="3" xfId="0" applyNumberFormat="1" applyFont="1" applyFill="1" applyBorder="1" applyAlignment="1">
      <alignment horizontal="center"/>
    </xf>
    <xf numFmtId="4" fontId="6" fillId="3" borderId="3" xfId="0" applyNumberFormat="1" applyFont="1" applyFill="1" applyBorder="1" applyAlignment="1">
      <alignment horizontal="center"/>
    </xf>
    <xf numFmtId="164" fontId="6" fillId="3" borderId="3" xfId="0" applyNumberFormat="1" applyFont="1" applyFill="1" applyBorder="1" applyAlignment="1">
      <alignment horizontal="center"/>
    </xf>
    <xf numFmtId="1" fontId="2" fillId="3" borderId="2" xfId="0" applyNumberFormat="1" applyFont="1" applyFill="1" applyBorder="1" applyAlignment="1">
      <alignment vertical="center"/>
    </xf>
    <xf numFmtId="49" fontId="7" fillId="3" borderId="2" xfId="0" applyNumberFormat="1" applyFont="1" applyFill="1" applyBorder="1" applyAlignment="1">
      <alignment horizontal="left" vertical="top" wrapText="1"/>
    </xf>
    <xf numFmtId="49" fontId="6" fillId="3" borderId="2" xfId="0" applyNumberFormat="1" applyFont="1" applyFill="1" applyBorder="1" applyAlignment="1">
      <alignment horizontal="center" vertical="center"/>
    </xf>
    <xf numFmtId="4" fontId="6" fillId="3" borderId="2"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49" fontId="7" fillId="3" borderId="1" xfId="0" applyNumberFormat="1" applyFont="1" applyFill="1" applyBorder="1" applyAlignment="1">
      <alignment horizontal="left" vertical="center" wrapText="1"/>
    </xf>
    <xf numFmtId="1" fontId="2" fillId="3" borderId="1" xfId="0" applyNumberFormat="1" applyFont="1" applyFill="1" applyBorder="1" applyAlignment="1">
      <alignment vertical="center"/>
    </xf>
    <xf numFmtId="1" fontId="2" fillId="3" borderId="3" xfId="0" applyNumberFormat="1" applyFont="1" applyFill="1" applyBorder="1" applyAlignment="1">
      <alignment horizontal="right" vertical="center"/>
    </xf>
    <xf numFmtId="1" fontId="2" fillId="3" borderId="3" xfId="0" applyNumberFormat="1" applyFont="1" applyFill="1" applyBorder="1" applyAlignment="1">
      <alignment horizontal="left" vertical="center"/>
    </xf>
    <xf numFmtId="49" fontId="5" fillId="3" borderId="3" xfId="0" applyNumberFormat="1" applyFont="1" applyFill="1" applyBorder="1" applyAlignment="1">
      <alignment horizontal="left" vertical="center" wrapText="1"/>
    </xf>
    <xf numFmtId="49" fontId="6" fillId="3" borderId="3" xfId="0" applyNumberFormat="1" applyFont="1" applyFill="1" applyBorder="1" applyAlignment="1">
      <alignment horizontal="center" vertical="center"/>
    </xf>
    <xf numFmtId="4" fontId="6" fillId="3" borderId="3"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1" fontId="2" fillId="3" borderId="2" xfId="0" applyNumberFormat="1" applyFont="1" applyFill="1" applyBorder="1" applyAlignment="1">
      <alignment horizontal="right" vertical="center"/>
    </xf>
    <xf numFmtId="1" fontId="2" fillId="3" borderId="2" xfId="0" applyNumberFormat="1" applyFont="1" applyFill="1" applyBorder="1" applyAlignment="1">
      <alignment horizontal="left" vertical="center"/>
    </xf>
    <xf numFmtId="49" fontId="5" fillId="3" borderId="2" xfId="0" applyNumberFormat="1" applyFont="1" applyFill="1" applyBorder="1" applyAlignment="1">
      <alignment horizontal="left" vertical="center" wrapText="1"/>
    </xf>
    <xf numFmtId="0" fontId="6" fillId="3" borderId="1" xfId="0" applyFont="1" applyFill="1" applyBorder="1" applyAlignment="1">
      <alignment horizontal="center" vertical="center"/>
    </xf>
    <xf numFmtId="1" fontId="2" fillId="3" borderId="3" xfId="0" applyNumberFormat="1" applyFont="1" applyFill="1" applyBorder="1" applyAlignment="1">
      <alignment horizontal="right"/>
    </xf>
    <xf numFmtId="1" fontId="2" fillId="3" borderId="3" xfId="0" applyNumberFormat="1" applyFont="1" applyFill="1" applyBorder="1" applyAlignment="1">
      <alignment horizontal="left"/>
    </xf>
    <xf numFmtId="49" fontId="7" fillId="3" borderId="3" xfId="0" applyNumberFormat="1" applyFont="1" applyFill="1" applyBorder="1" applyAlignment="1">
      <alignment horizontal="left" wrapText="1"/>
    </xf>
    <xf numFmtId="1" fontId="2" fillId="3" borderId="2" xfId="0" applyNumberFormat="1" applyFont="1" applyFill="1" applyBorder="1" applyAlignment="1">
      <alignment horizontal="right"/>
    </xf>
    <xf numFmtId="1" fontId="2" fillId="3" borderId="2" xfId="0" applyNumberFormat="1" applyFont="1" applyFill="1" applyBorder="1" applyAlignment="1">
      <alignment horizontal="left"/>
    </xf>
    <xf numFmtId="49" fontId="6" fillId="3" borderId="2" xfId="0" applyNumberFormat="1" applyFont="1" applyFill="1" applyBorder="1" applyAlignment="1">
      <alignment horizontal="center"/>
    </xf>
    <xf numFmtId="4" fontId="6" fillId="3" borderId="2" xfId="0" applyNumberFormat="1" applyFont="1" applyFill="1" applyBorder="1" applyAlignment="1">
      <alignment horizontal="center"/>
    </xf>
    <xf numFmtId="164" fontId="6" fillId="3" borderId="2" xfId="0" applyNumberFormat="1" applyFont="1" applyFill="1" applyBorder="1" applyAlignment="1">
      <alignment horizontal="center"/>
    </xf>
    <xf numFmtId="49" fontId="2" fillId="3" borderId="1"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49" fontId="2" fillId="3" borderId="3" xfId="0" applyNumberFormat="1" applyFont="1" applyFill="1" applyBorder="1" applyAlignment="1">
      <alignment horizontal="left" vertical="center"/>
    </xf>
    <xf numFmtId="1" fontId="2" fillId="3" borderId="0" xfId="0" applyNumberFormat="1" applyFont="1" applyFill="1" applyBorder="1" applyAlignment="1">
      <alignment horizontal="right" vertical="center"/>
    </xf>
    <xf numFmtId="1" fontId="2" fillId="3" borderId="0" xfId="0" applyNumberFormat="1" applyFont="1" applyFill="1" applyBorder="1" applyAlignment="1">
      <alignment horizontal="left" vertical="center"/>
    </xf>
    <xf numFmtId="49" fontId="2" fillId="3" borderId="0" xfId="0" applyNumberFormat="1" applyFont="1" applyFill="1" applyBorder="1" applyAlignment="1">
      <alignment horizontal="left" vertical="center"/>
    </xf>
    <xf numFmtId="49" fontId="6" fillId="3" borderId="0"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9" fontId="6" fillId="3" borderId="1" xfId="0" applyNumberFormat="1" applyFont="1" applyFill="1" applyBorder="1" applyAlignment="1">
      <alignment horizontal="left" vertical="center"/>
    </xf>
    <xf numFmtId="49" fontId="6" fillId="3" borderId="0" xfId="0" applyNumberFormat="1" applyFont="1" applyFill="1" applyBorder="1" applyAlignment="1">
      <alignment horizontal="left" vertical="center"/>
    </xf>
    <xf numFmtId="49" fontId="7" fillId="3" borderId="0" xfId="0" applyNumberFormat="1" applyFont="1" applyFill="1" applyBorder="1" applyAlignment="1">
      <alignment horizontal="left" vertical="top" wrapText="1"/>
    </xf>
    <xf numFmtId="164" fontId="6" fillId="0" borderId="4" xfId="0" applyNumberFormat="1" applyFont="1" applyBorder="1" applyAlignment="1">
      <alignment horizontal="center" vertical="center"/>
    </xf>
    <xf numFmtId="49" fontId="9" fillId="0" borderId="0" xfId="0" applyNumberFormat="1" applyFont="1" applyAlignment="1">
      <alignment horizontal="center" vertical="center" wrapText="1"/>
    </xf>
    <xf numFmtId="49" fontId="9" fillId="0" borderId="0" xfId="0" applyNumberFormat="1" applyFont="1" applyAlignment="1">
      <alignment horizontal="center" vertical="center"/>
    </xf>
    <xf numFmtId="49" fontId="30" fillId="0" borderId="0" xfId="0" applyNumberFormat="1" applyFont="1" applyAlignment="1">
      <alignment horizontal="center" vertical="center"/>
    </xf>
    <xf numFmtId="49" fontId="37" fillId="0" borderId="0" xfId="0" applyNumberFormat="1" applyFont="1" applyAlignment="1">
      <alignment horizontal="center" vertical="center" wrapText="1"/>
    </xf>
    <xf numFmtId="49" fontId="37" fillId="0" borderId="0" xfId="0" applyNumberFormat="1" applyFont="1" applyAlignment="1">
      <alignment horizontal="center" vertical="center"/>
    </xf>
    <xf numFmtId="49" fontId="30" fillId="0" borderId="0" xfId="0" applyNumberFormat="1" applyFont="1" applyAlignment="1">
      <alignment horizontal="center" vertical="center" wrapText="1"/>
    </xf>
    <xf numFmtId="164" fontId="5" fillId="0" borderId="4"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164" fontId="6" fillId="0" borderId="4" xfId="0" applyNumberFormat="1" applyFont="1" applyBorder="1" applyAlignment="1">
      <alignment horizontal="center" vertical="center"/>
    </xf>
    <xf numFmtId="1" fontId="36" fillId="0" borderId="0" xfId="0" applyNumberFormat="1" applyFont="1" applyAlignment="1">
      <alignment horizontal="center" vertical="center"/>
    </xf>
    <xf numFmtId="4" fontId="23" fillId="0" borderId="0" xfId="0" applyNumberFormat="1" applyFont="1" applyBorder="1" applyAlignment="1">
      <alignment horizontal="center" vertical="center"/>
    </xf>
    <xf numFmtId="49" fontId="9" fillId="3" borderId="0" xfId="0" applyNumberFormat="1" applyFont="1" applyFill="1" applyAlignment="1">
      <alignment horizontal="center" vertical="center" wrapText="1"/>
    </xf>
    <xf numFmtId="49" fontId="9" fillId="3" borderId="0" xfId="0" applyNumberFormat="1" applyFont="1" applyFill="1" applyAlignment="1">
      <alignment horizontal="center" vertical="center"/>
    </xf>
    <xf numFmtId="49" fontId="30" fillId="3" borderId="0" xfId="0" applyNumberFormat="1" applyFont="1" applyFill="1" applyAlignment="1">
      <alignment horizontal="center" vertical="center" wrapText="1"/>
    </xf>
    <xf numFmtId="49" fontId="30" fillId="3" borderId="0" xfId="0" applyNumberFormat="1" applyFont="1" applyFill="1" applyAlignment="1">
      <alignment horizontal="center" vertical="center"/>
    </xf>
    <xf numFmtId="1" fontId="36" fillId="3" borderId="0" xfId="0" applyNumberFormat="1" applyFont="1" applyFill="1" applyAlignment="1">
      <alignment horizontal="center" vertical="center"/>
    </xf>
    <xf numFmtId="164" fontId="6" fillId="3" borderId="1" xfId="0" applyNumberFormat="1" applyFont="1" applyFill="1" applyBorder="1" applyAlignment="1">
      <alignment horizontal="center" vertical="center"/>
    </xf>
    <xf numFmtId="164" fontId="5" fillId="3" borderId="1" xfId="0" applyNumberFormat="1" applyFont="1" applyFill="1" applyBorder="1" applyAlignment="1">
      <alignment horizontal="center" vertical="center"/>
    </xf>
    <xf numFmtId="4" fontId="23" fillId="0" borderId="0" xfId="0" applyNumberFormat="1" applyFont="1" applyAlignment="1">
      <alignment horizontal="center" vertical="center"/>
    </xf>
    <xf numFmtId="1" fontId="2"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xf numFmtId="164" fontId="6" fillId="0" borderId="3" xfId="0" applyNumberFormat="1" applyFont="1" applyBorder="1" applyAlignment="1">
      <alignment horizontal="center" vertical="center"/>
    </xf>
    <xf numFmtId="164" fontId="6" fillId="0" borderId="2" xfId="0" applyNumberFormat="1" applyFont="1" applyBorder="1" applyAlignment="1">
      <alignment horizontal="center" vertical="center"/>
    </xf>
    <xf numFmtId="1" fontId="2" fillId="0" borderId="3" xfId="0" applyNumberFormat="1" applyFont="1" applyBorder="1" applyAlignment="1">
      <alignment horizontal="center" vertical="center"/>
    </xf>
    <xf numFmtId="1" fontId="2"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2" xfId="0" applyNumberFormat="1" applyFont="1" applyBorder="1" applyAlignment="1">
      <alignment horizontal="center" vertical="center"/>
    </xf>
    <xf numFmtId="4" fontId="6" fillId="0" borderId="3" xfId="0" applyNumberFormat="1" applyFont="1" applyBorder="1" applyAlignment="1">
      <alignment horizontal="center" vertical="center"/>
    </xf>
    <xf numFmtId="4" fontId="6" fillId="0" borderId="2" xfId="0" applyNumberFormat="1" applyFont="1" applyBorder="1" applyAlignment="1">
      <alignment horizontal="center" vertical="center"/>
    </xf>
    <xf numFmtId="164" fontId="3" fillId="0" borderId="0" xfId="0" applyNumberFormat="1" applyFont="1" applyAlignment="1">
      <alignment horizontal="center"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120B4-80D8-4EE8-9FAE-C1B104948749}">
  <sheetPr codeName="Sheet1"/>
  <dimension ref="A23:G54"/>
  <sheetViews>
    <sheetView view="pageBreakPreview" zoomScale="60" zoomScaleNormal="100" zoomScalePageLayoutView="60" workbookViewId="0">
      <selection activeCell="D32" sqref="D32"/>
    </sheetView>
  </sheetViews>
  <sheetFormatPr defaultRowHeight="14.4" x14ac:dyDescent="0.3"/>
  <cols>
    <col min="1" max="1" width="3.6640625" style="8" customWidth="1"/>
    <col min="2" max="2" width="3.6640625" style="9" customWidth="1"/>
    <col min="3" max="3" width="40.6640625" style="10" customWidth="1"/>
    <col min="4" max="4" width="7.6640625" style="11" customWidth="1"/>
    <col min="5" max="5" width="8.6640625" style="12" customWidth="1"/>
    <col min="6" max="6" width="12.6640625" style="14" customWidth="1"/>
    <col min="7" max="7" width="13.6640625" style="14" customWidth="1"/>
  </cols>
  <sheetData>
    <row r="23" spans="1:7" ht="90" customHeight="1" x14ac:dyDescent="0.3">
      <c r="A23" s="287" t="s">
        <v>157</v>
      </c>
      <c r="B23" s="288"/>
      <c r="C23" s="288"/>
      <c r="D23" s="288"/>
      <c r="E23" s="288"/>
      <c r="F23" s="288"/>
      <c r="G23" s="288"/>
    </row>
    <row r="27" spans="1:7" ht="18" x14ac:dyDescent="0.3">
      <c r="A27" s="289"/>
      <c r="B27" s="289"/>
      <c r="C27" s="289"/>
      <c r="D27" s="289"/>
      <c r="E27" s="289"/>
      <c r="F27" s="289"/>
      <c r="G27" s="289"/>
    </row>
    <row r="45" spans="1:7" ht="27.6" x14ac:dyDescent="0.3">
      <c r="A45" s="15" t="s">
        <v>0</v>
      </c>
      <c r="B45" s="16"/>
      <c r="C45" s="17" t="s">
        <v>1</v>
      </c>
      <c r="D45" s="18" t="s">
        <v>2</v>
      </c>
      <c r="E45" s="19" t="s">
        <v>3</v>
      </c>
      <c r="F45" s="20" t="s">
        <v>4</v>
      </c>
      <c r="G45" s="21" t="s">
        <v>5</v>
      </c>
    </row>
    <row r="46" spans="1:7" x14ac:dyDescent="0.3">
      <c r="A46" s="28" t="s">
        <v>6</v>
      </c>
      <c r="B46" s="29"/>
      <c r="C46" s="30" t="s">
        <v>7</v>
      </c>
      <c r="D46" s="31"/>
      <c r="E46" s="32"/>
      <c r="F46" s="33"/>
      <c r="G46" s="33"/>
    </row>
    <row r="47" spans="1:7" ht="138" customHeight="1" x14ac:dyDescent="0.3">
      <c r="A47" s="22">
        <v>1</v>
      </c>
      <c r="B47" s="23" t="s">
        <v>8</v>
      </c>
      <c r="C47" s="24" t="s">
        <v>9</v>
      </c>
      <c r="D47" s="25" t="s">
        <v>10</v>
      </c>
      <c r="E47" s="26">
        <v>1</v>
      </c>
      <c r="F47" s="27">
        <v>1000</v>
      </c>
      <c r="G47" s="27">
        <f t="shared" ref="G47:G51" si="0">$E47*$F47</f>
        <v>1000</v>
      </c>
    </row>
    <row r="48" spans="1:7" ht="179.4" x14ac:dyDescent="0.3">
      <c r="A48" s="1">
        <v>1</v>
      </c>
      <c r="B48" s="23" t="s">
        <v>11</v>
      </c>
      <c r="C48" s="7" t="s">
        <v>12</v>
      </c>
      <c r="D48" s="4" t="s">
        <v>10</v>
      </c>
      <c r="E48" s="5">
        <v>1</v>
      </c>
      <c r="F48" s="6">
        <v>1000</v>
      </c>
      <c r="G48" s="6">
        <f t="shared" si="0"/>
        <v>1000</v>
      </c>
    </row>
    <row r="49" spans="1:7" ht="151.80000000000001" x14ac:dyDescent="0.3">
      <c r="A49" s="34">
        <v>1</v>
      </c>
      <c r="B49" s="35" t="s">
        <v>13</v>
      </c>
      <c r="C49" s="36" t="s">
        <v>14</v>
      </c>
      <c r="D49" s="37" t="s">
        <v>10</v>
      </c>
      <c r="E49" s="38">
        <v>1</v>
      </c>
      <c r="F49" s="39">
        <v>1500</v>
      </c>
      <c r="G49" s="39">
        <f t="shared" si="0"/>
        <v>1500</v>
      </c>
    </row>
    <row r="50" spans="1:7" x14ac:dyDescent="0.3">
      <c r="A50" s="28" t="s">
        <v>15</v>
      </c>
      <c r="B50" s="29"/>
      <c r="C50" s="30" t="s">
        <v>16</v>
      </c>
      <c r="D50" s="31"/>
      <c r="E50" s="32"/>
      <c r="F50" s="33"/>
      <c r="G50" s="33"/>
    </row>
    <row r="51" spans="1:7" ht="248.4" x14ac:dyDescent="0.3">
      <c r="A51" s="1">
        <v>2</v>
      </c>
      <c r="B51" s="2" t="s">
        <v>8</v>
      </c>
      <c r="C51" s="3" t="s">
        <v>17</v>
      </c>
      <c r="D51" s="4" t="s">
        <v>18</v>
      </c>
      <c r="E51" s="5">
        <v>2</v>
      </c>
      <c r="F51" s="6">
        <v>500</v>
      </c>
      <c r="G51" s="6">
        <f t="shared" si="0"/>
        <v>1000</v>
      </c>
    </row>
    <row r="52" spans="1:7" x14ac:dyDescent="0.3">
      <c r="F52" s="6" t="s">
        <v>19</v>
      </c>
      <c r="G52" s="6">
        <f>SUM(G46:G51)</f>
        <v>4500</v>
      </c>
    </row>
    <row r="53" spans="1:7" x14ac:dyDescent="0.3">
      <c r="F53" s="6" t="s">
        <v>20</v>
      </c>
      <c r="G53" s="6">
        <f>G52*0.25</f>
        <v>1125</v>
      </c>
    </row>
    <row r="54" spans="1:7" x14ac:dyDescent="0.3">
      <c r="F54" s="13" t="s">
        <v>21</v>
      </c>
      <c r="G54" s="6">
        <f>SUM(G52:G53)</f>
        <v>5625</v>
      </c>
    </row>
  </sheetData>
  <mergeCells count="2">
    <mergeCell ref="A23:G23"/>
    <mergeCell ref="A27:G27"/>
  </mergeCells>
  <phoneticPr fontId="8" type="noConversion"/>
  <pageMargins left="0.98425196850393704" right="0.39370078740157483" top="1.1811023622047245" bottom="0.78740157480314965" header="0.39370078740157483" footer="0.39370078740157483"/>
  <pageSetup paperSize="9" scale="96" orientation="portrait" useFirstPageNumber="1" r:id="rId1"/>
  <headerFooter>
    <oddHeader>&amp;L&amp;G&amp;R&amp;G</oddHeader>
    <oddFooter xml:space="preserve">&amp;L&amp;"-,Bold"&amp;9TROŠKOVNIK &amp;A&amp;"-,Regular"      PROJEKT VODOVODA I ODVODNJE      VIO-05/22&amp;R&amp;"-,Bold"&amp;9&amp;P/&amp;N   </oddFooter>
  </headerFooter>
  <rowBreaks count="1" manualBreakCount="1">
    <brk id="49"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8B89F-D0D9-4F8C-A37A-E19963F93B10}">
  <sheetPr codeName="Sheet8"/>
  <dimension ref="A1:N53"/>
  <sheetViews>
    <sheetView view="pageBreakPreview" topLeftCell="A25" zoomScaleNormal="100" zoomScaleSheetLayoutView="100" zoomScalePageLayoutView="60" workbookViewId="0">
      <selection activeCell="K39" sqref="K39"/>
    </sheetView>
  </sheetViews>
  <sheetFormatPr defaultRowHeight="14.4" x14ac:dyDescent="0.3"/>
  <cols>
    <col min="1" max="1" width="3.6640625" style="8" customWidth="1"/>
    <col min="2" max="2" width="3.6640625" style="9" customWidth="1"/>
    <col min="3" max="3" width="40.6640625" style="10" customWidth="1"/>
    <col min="4" max="4" width="7.6640625" style="11" customWidth="1"/>
    <col min="5" max="5" width="8.6640625" style="12" customWidth="1"/>
    <col min="6" max="6" width="12.6640625" style="14" customWidth="1"/>
    <col min="7" max="7" width="13.6640625" style="14" customWidth="1"/>
  </cols>
  <sheetData>
    <row r="1" spans="1:14" x14ac:dyDescent="0.3">
      <c r="H1" s="61"/>
      <c r="I1" s="58"/>
      <c r="J1" s="57"/>
      <c r="K1" s="71"/>
      <c r="L1" s="72"/>
      <c r="M1" s="73"/>
      <c r="N1" s="55"/>
    </row>
    <row r="2" spans="1:14" x14ac:dyDescent="0.3">
      <c r="H2" s="61"/>
      <c r="I2" s="58"/>
      <c r="J2" s="57"/>
      <c r="K2" s="71"/>
      <c r="L2" s="72"/>
      <c r="M2" s="73"/>
      <c r="N2" s="55"/>
    </row>
    <row r="3" spans="1:14" x14ac:dyDescent="0.3">
      <c r="H3" s="61"/>
      <c r="I3" s="58"/>
      <c r="J3" s="57"/>
      <c r="K3" s="71"/>
      <c r="L3" s="72"/>
      <c r="M3" s="73"/>
      <c r="N3" s="55"/>
    </row>
    <row r="4" spans="1:14" x14ac:dyDescent="0.3">
      <c r="H4" s="61"/>
      <c r="I4" s="58"/>
      <c r="J4" s="57"/>
      <c r="K4" s="71"/>
      <c r="L4" s="72"/>
      <c r="M4" s="73"/>
      <c r="N4" s="55"/>
    </row>
    <row r="5" spans="1:14" x14ac:dyDescent="0.3">
      <c r="H5" s="61"/>
      <c r="I5" s="58"/>
      <c r="J5" s="57"/>
      <c r="K5" s="71"/>
      <c r="L5" s="72"/>
      <c r="M5" s="73"/>
      <c r="N5" s="55"/>
    </row>
    <row r="6" spans="1:14" x14ac:dyDescent="0.3">
      <c r="H6" s="61"/>
      <c r="I6" s="58"/>
      <c r="J6" s="57"/>
      <c r="K6" s="71"/>
      <c r="L6" s="72"/>
      <c r="M6" s="73"/>
      <c r="N6" s="55"/>
    </row>
    <row r="7" spans="1:14" x14ac:dyDescent="0.3">
      <c r="H7" s="61"/>
      <c r="I7" s="58"/>
      <c r="J7" s="57"/>
      <c r="K7" s="71"/>
      <c r="L7" s="72"/>
      <c r="M7" s="73"/>
      <c r="N7" s="55"/>
    </row>
    <row r="8" spans="1:14" x14ac:dyDescent="0.3">
      <c r="H8" s="61"/>
      <c r="I8" s="58"/>
      <c r="J8" s="57"/>
      <c r="K8" s="71"/>
      <c r="L8" s="72"/>
      <c r="M8" s="73"/>
      <c r="N8" s="55"/>
    </row>
    <row r="9" spans="1:14" x14ac:dyDescent="0.3">
      <c r="H9" s="61"/>
      <c r="I9" s="58"/>
      <c r="J9" s="57"/>
      <c r="K9" s="71"/>
      <c r="L9" s="72"/>
      <c r="M9" s="73"/>
      <c r="N9" s="55"/>
    </row>
    <row r="10" spans="1:14" x14ac:dyDescent="0.3">
      <c r="H10" s="61"/>
      <c r="I10" s="58"/>
      <c r="J10" s="57"/>
      <c r="K10" s="71"/>
      <c r="L10" s="72"/>
      <c r="M10" s="73"/>
      <c r="N10" s="55"/>
    </row>
    <row r="11" spans="1:14" x14ac:dyDescent="0.3">
      <c r="H11" s="61"/>
      <c r="I11" s="58"/>
      <c r="J11" s="57"/>
      <c r="K11" s="71"/>
      <c r="L11" s="72"/>
      <c r="M11" s="73"/>
      <c r="N11" s="55"/>
    </row>
    <row r="12" spans="1:14" ht="71.25" customHeight="1" x14ac:dyDescent="0.3">
      <c r="A12" s="287" t="s">
        <v>324</v>
      </c>
      <c r="B12" s="288"/>
      <c r="C12" s="288"/>
      <c r="D12" s="288"/>
      <c r="E12" s="288"/>
      <c r="F12" s="288"/>
      <c r="G12" s="288"/>
      <c r="H12" s="61"/>
      <c r="I12" s="58"/>
      <c r="J12" s="57"/>
      <c r="K12" s="71"/>
      <c r="L12" s="72"/>
      <c r="M12" s="73"/>
      <c r="N12" s="55"/>
    </row>
    <row r="13" spans="1:14" x14ac:dyDescent="0.3">
      <c r="H13" s="61"/>
      <c r="I13" s="58"/>
      <c r="J13" s="57"/>
      <c r="K13" s="71"/>
      <c r="L13" s="72"/>
      <c r="M13" s="73"/>
      <c r="N13" s="55"/>
    </row>
    <row r="14" spans="1:14" x14ac:dyDescent="0.3">
      <c r="H14" s="61"/>
      <c r="I14" s="58"/>
      <c r="J14" s="57"/>
      <c r="K14" s="71"/>
      <c r="L14" s="72"/>
      <c r="M14" s="73"/>
      <c r="N14" s="55"/>
    </row>
    <row r="15" spans="1:14" x14ac:dyDescent="0.3">
      <c r="H15" s="61"/>
      <c r="I15" s="58"/>
      <c r="J15" s="57"/>
      <c r="K15" s="71"/>
      <c r="L15" s="72"/>
      <c r="M15" s="73"/>
      <c r="N15" s="55"/>
    </row>
    <row r="16" spans="1:14" ht="59.25" customHeight="1" x14ac:dyDescent="0.3">
      <c r="A16" s="292" t="s">
        <v>326</v>
      </c>
      <c r="B16" s="289"/>
      <c r="C16" s="289"/>
      <c r="D16" s="289"/>
      <c r="E16" s="289"/>
      <c r="F16" s="289"/>
      <c r="G16" s="289"/>
      <c r="H16" s="61"/>
      <c r="I16" s="58"/>
      <c r="J16" s="57"/>
      <c r="K16" s="71"/>
      <c r="L16" s="72"/>
      <c r="M16" s="73"/>
      <c r="N16" s="55"/>
    </row>
    <row r="17" spans="1:14" x14ac:dyDescent="0.3">
      <c r="H17" s="61"/>
      <c r="I17" s="58"/>
      <c r="J17" s="57"/>
      <c r="K17" s="71"/>
      <c r="L17" s="72"/>
      <c r="M17" s="73"/>
      <c r="N17" s="55"/>
    </row>
    <row r="18" spans="1:14" x14ac:dyDescent="0.3">
      <c r="H18" s="61"/>
      <c r="I18" s="58"/>
      <c r="J18" s="57"/>
      <c r="K18" s="71"/>
      <c r="L18" s="72"/>
      <c r="M18" s="73"/>
      <c r="N18" s="55"/>
    </row>
    <row r="19" spans="1:14" x14ac:dyDescent="0.3">
      <c r="H19" s="61"/>
      <c r="I19" s="58"/>
      <c r="J19" s="57"/>
      <c r="K19" s="71"/>
      <c r="L19" s="72"/>
      <c r="M19" s="73"/>
      <c r="N19" s="55"/>
    </row>
    <row r="20" spans="1:14" ht="18" x14ac:dyDescent="0.3">
      <c r="A20" s="296" t="s">
        <v>330</v>
      </c>
      <c r="B20" s="296"/>
      <c r="C20" s="296"/>
      <c r="D20" s="296"/>
      <c r="E20" s="296"/>
      <c r="F20" s="296"/>
      <c r="G20" s="296"/>
      <c r="H20" s="61"/>
      <c r="I20" s="58"/>
      <c r="J20" s="57"/>
      <c r="K20" s="71"/>
      <c r="L20" s="72"/>
      <c r="M20" s="73"/>
      <c r="N20" s="55"/>
    </row>
    <row r="21" spans="1:14" x14ac:dyDescent="0.3">
      <c r="H21" s="61"/>
      <c r="I21" s="58"/>
      <c r="J21" s="57"/>
      <c r="K21" s="71"/>
      <c r="L21" s="72"/>
      <c r="M21" s="73"/>
      <c r="N21" s="55"/>
    </row>
    <row r="22" spans="1:14" x14ac:dyDescent="0.3">
      <c r="H22" s="61"/>
      <c r="I22" s="58"/>
      <c r="J22" s="57"/>
      <c r="K22" s="71"/>
      <c r="L22" s="72"/>
      <c r="M22" s="73"/>
      <c r="N22" s="55"/>
    </row>
    <row r="23" spans="1:14" x14ac:dyDescent="0.3">
      <c r="H23" s="61"/>
      <c r="I23" s="58"/>
      <c r="J23" s="57"/>
      <c r="K23" s="71"/>
      <c r="L23" s="72"/>
      <c r="M23" s="73"/>
      <c r="N23" s="55"/>
    </row>
    <row r="24" spans="1:14" x14ac:dyDescent="0.3">
      <c r="H24" s="61"/>
      <c r="I24" s="58"/>
      <c r="J24" s="57"/>
      <c r="K24" s="71"/>
      <c r="L24" s="72"/>
      <c r="M24" s="73"/>
      <c r="N24" s="55"/>
    </row>
    <row r="25" spans="1:14" x14ac:dyDescent="0.3">
      <c r="H25" s="61"/>
      <c r="I25" s="58"/>
      <c r="J25" s="57"/>
      <c r="K25" s="71"/>
      <c r="L25" s="72"/>
      <c r="M25" s="73"/>
      <c r="N25" s="55"/>
    </row>
    <row r="26" spans="1:14" x14ac:dyDescent="0.3">
      <c r="H26" s="61"/>
      <c r="I26" s="58"/>
      <c r="J26" s="57"/>
      <c r="K26" s="71"/>
      <c r="L26" s="72"/>
      <c r="M26" s="73"/>
      <c r="N26" s="55"/>
    </row>
    <row r="27" spans="1:14" x14ac:dyDescent="0.3">
      <c r="H27" s="61"/>
      <c r="I27" s="58"/>
      <c r="J27" s="57"/>
      <c r="K27" s="71"/>
      <c r="L27" s="72"/>
      <c r="M27" s="73"/>
      <c r="N27" s="55"/>
    </row>
    <row r="28" spans="1:14" x14ac:dyDescent="0.3">
      <c r="H28" s="61"/>
      <c r="I28" s="58"/>
      <c r="J28" s="57"/>
      <c r="K28" s="71"/>
      <c r="L28" s="72"/>
      <c r="M28" s="73"/>
      <c r="N28" s="55"/>
    </row>
    <row r="29" spans="1:14" x14ac:dyDescent="0.3">
      <c r="H29" s="61"/>
      <c r="I29" s="58"/>
      <c r="J29" s="57"/>
      <c r="K29" s="71"/>
      <c r="L29" s="72"/>
      <c r="M29" s="73"/>
      <c r="N29" s="55"/>
    </row>
    <row r="30" spans="1:14" x14ac:dyDescent="0.3">
      <c r="H30" s="61"/>
      <c r="I30" s="58"/>
      <c r="J30" s="57"/>
      <c r="K30" s="71"/>
      <c r="L30" s="72"/>
      <c r="M30" s="73"/>
      <c r="N30" s="55"/>
    </row>
    <row r="31" spans="1:14" x14ac:dyDescent="0.3">
      <c r="H31" s="61"/>
      <c r="I31" s="58"/>
      <c r="J31" s="57"/>
      <c r="K31" s="71"/>
      <c r="L31" s="72"/>
      <c r="M31" s="73"/>
      <c r="N31" s="55"/>
    </row>
    <row r="32" spans="1:14" x14ac:dyDescent="0.3">
      <c r="H32" s="61"/>
      <c r="I32" s="58"/>
      <c r="J32" s="57"/>
      <c r="K32" s="71"/>
      <c r="L32" s="72"/>
      <c r="M32" s="73"/>
      <c r="N32" s="55"/>
    </row>
    <row r="33" spans="1:14" x14ac:dyDescent="0.3">
      <c r="H33" s="61"/>
      <c r="I33" s="58"/>
      <c r="J33" s="57"/>
      <c r="K33" s="71"/>
      <c r="L33" s="72"/>
      <c r="M33" s="73"/>
      <c r="N33" s="55"/>
    </row>
    <row r="34" spans="1:14" x14ac:dyDescent="0.3">
      <c r="H34" s="61"/>
      <c r="I34" s="58"/>
      <c r="J34" s="57"/>
      <c r="K34" s="71"/>
      <c r="L34" s="72"/>
      <c r="M34" s="73"/>
      <c r="N34" s="55"/>
    </row>
    <row r="35" spans="1:14" x14ac:dyDescent="0.3">
      <c r="H35" s="61"/>
      <c r="I35" s="58"/>
      <c r="J35" s="57"/>
      <c r="K35" s="71"/>
      <c r="L35" s="72"/>
      <c r="M35" s="73"/>
      <c r="N35" s="55"/>
    </row>
    <row r="36" spans="1:14" x14ac:dyDescent="0.3">
      <c r="H36" s="61"/>
      <c r="I36" s="58"/>
      <c r="J36" s="57"/>
      <c r="K36" s="71"/>
      <c r="L36" s="72"/>
      <c r="M36" s="73"/>
      <c r="N36" s="55"/>
    </row>
    <row r="37" spans="1:14" x14ac:dyDescent="0.3">
      <c r="H37" s="61"/>
      <c r="I37" s="58"/>
      <c r="J37" s="57"/>
      <c r="K37" s="71"/>
      <c r="L37" s="72"/>
      <c r="M37" s="73"/>
      <c r="N37" s="55"/>
    </row>
    <row r="38" spans="1:14" x14ac:dyDescent="0.3">
      <c r="H38" s="61"/>
      <c r="I38" s="58"/>
      <c r="J38" s="57"/>
      <c r="K38" s="71"/>
      <c r="L38" s="72"/>
      <c r="M38" s="73"/>
      <c r="N38" s="55"/>
    </row>
    <row r="39" spans="1:14" x14ac:dyDescent="0.3">
      <c r="H39" s="61"/>
      <c r="I39" s="58"/>
      <c r="J39" s="57"/>
      <c r="K39" s="96"/>
      <c r="L39" s="72"/>
      <c r="M39" s="73"/>
      <c r="N39" s="55"/>
    </row>
    <row r="44" spans="1:14" ht="27.6" x14ac:dyDescent="0.3">
      <c r="A44" s="15" t="s">
        <v>0</v>
      </c>
      <c r="B44" s="16"/>
      <c r="C44" s="17" t="s">
        <v>1</v>
      </c>
      <c r="D44" s="18" t="s">
        <v>2</v>
      </c>
      <c r="E44" s="19" t="s">
        <v>3</v>
      </c>
      <c r="F44" s="20" t="s">
        <v>4</v>
      </c>
      <c r="G44" s="20" t="s">
        <v>644</v>
      </c>
    </row>
    <row r="45" spans="1:14" x14ac:dyDescent="0.3">
      <c r="A45" s="28" t="s">
        <v>6</v>
      </c>
      <c r="B45" s="29"/>
      <c r="C45" s="30" t="s">
        <v>7</v>
      </c>
      <c r="D45" s="31"/>
      <c r="E45" s="32"/>
      <c r="F45" s="33"/>
      <c r="G45" s="33"/>
    </row>
    <row r="46" spans="1:14" ht="138" customHeight="1" x14ac:dyDescent="0.3">
      <c r="A46" s="22">
        <v>1</v>
      </c>
      <c r="B46" s="23" t="s">
        <v>8</v>
      </c>
      <c r="C46" s="24" t="s">
        <v>9</v>
      </c>
      <c r="D46" s="25" t="s">
        <v>10</v>
      </c>
      <c r="E46" s="26">
        <v>1</v>
      </c>
      <c r="F46" s="27">
        <v>0</v>
      </c>
      <c r="G46" s="27">
        <f t="shared" ref="G46:G50" si="0">$E46*$F46</f>
        <v>0</v>
      </c>
    </row>
    <row r="47" spans="1:14" ht="179.4" x14ac:dyDescent="0.3">
      <c r="A47" s="1">
        <v>1</v>
      </c>
      <c r="B47" s="23" t="s">
        <v>11</v>
      </c>
      <c r="C47" s="7" t="s">
        <v>12</v>
      </c>
      <c r="D47" s="4" t="s">
        <v>10</v>
      </c>
      <c r="E47" s="5">
        <v>1</v>
      </c>
      <c r="F47" s="6">
        <v>0</v>
      </c>
      <c r="G47" s="6">
        <f t="shared" si="0"/>
        <v>0</v>
      </c>
    </row>
    <row r="48" spans="1:14" ht="150" customHeight="1" x14ac:dyDescent="0.3">
      <c r="A48" s="34">
        <v>1</v>
      </c>
      <c r="B48" s="35" t="s">
        <v>13</v>
      </c>
      <c r="C48" s="36" t="s">
        <v>14</v>
      </c>
      <c r="D48" s="37" t="s">
        <v>10</v>
      </c>
      <c r="E48" s="38">
        <v>1</v>
      </c>
      <c r="F48" s="39">
        <v>0</v>
      </c>
      <c r="G48" s="39">
        <f t="shared" si="0"/>
        <v>0</v>
      </c>
    </row>
    <row r="49" spans="1:7" x14ac:dyDescent="0.3">
      <c r="A49" s="28" t="s">
        <v>15</v>
      </c>
      <c r="B49" s="29"/>
      <c r="C49" s="30" t="s">
        <v>16</v>
      </c>
      <c r="D49" s="31"/>
      <c r="E49" s="32"/>
      <c r="F49" s="33"/>
      <c r="G49" s="33"/>
    </row>
    <row r="50" spans="1:7" ht="240.75" customHeight="1" x14ac:dyDescent="0.3">
      <c r="A50" s="1">
        <v>2</v>
      </c>
      <c r="B50" s="2" t="s">
        <v>8</v>
      </c>
      <c r="C50" s="3" t="s">
        <v>17</v>
      </c>
      <c r="D50" s="4" t="s">
        <v>18</v>
      </c>
      <c r="E50" s="5">
        <v>2</v>
      </c>
      <c r="F50" s="6">
        <v>0</v>
      </c>
      <c r="G50" s="6">
        <f t="shared" si="0"/>
        <v>0</v>
      </c>
    </row>
    <row r="51" spans="1:7" x14ac:dyDescent="0.3">
      <c r="A51" s="294" t="s">
        <v>645</v>
      </c>
      <c r="B51" s="294"/>
      <c r="C51" s="294"/>
      <c r="D51" s="294"/>
      <c r="E51" s="294"/>
      <c r="F51" s="294"/>
      <c r="G51" s="217">
        <f>SUM(G45:G50)</f>
        <v>0</v>
      </c>
    </row>
    <row r="52" spans="1:7" x14ac:dyDescent="0.3">
      <c r="A52" s="295" t="s">
        <v>20</v>
      </c>
      <c r="B52" s="295"/>
      <c r="C52" s="295"/>
      <c r="D52" s="295"/>
      <c r="E52" s="295"/>
      <c r="F52" s="295"/>
      <c r="G52" s="213">
        <f>G51*F52</f>
        <v>0</v>
      </c>
    </row>
    <row r="53" spans="1:7" x14ac:dyDescent="0.3">
      <c r="A53" s="293" t="s">
        <v>646</v>
      </c>
      <c r="B53" s="293"/>
      <c r="C53" s="293"/>
      <c r="D53" s="293"/>
      <c r="E53" s="293"/>
      <c r="F53" s="293"/>
      <c r="G53" s="213">
        <f>SUM(G51:G52)</f>
        <v>0</v>
      </c>
    </row>
  </sheetData>
  <mergeCells count="6">
    <mergeCell ref="A53:F53"/>
    <mergeCell ref="A12:G12"/>
    <mergeCell ref="A16:G16"/>
    <mergeCell ref="A20:G20"/>
    <mergeCell ref="A51:F51"/>
    <mergeCell ref="A52:F52"/>
  </mergeCells>
  <pageMargins left="0.98425196850393704" right="0.39370078740157483" top="1.1811023622047245" bottom="0.78740157480314965" header="0.39370078740157483" footer="0.39370078740157483"/>
  <pageSetup paperSize="9" scale="96" orientation="portrait" useFirstPageNumber="1" r:id="rId1"/>
  <headerFooter>
    <oddHeader>&amp;L&amp;G&amp;R&amp;G</oddHeader>
    <oddFooter xml:space="preserve">&amp;L&amp;"-,Bold"&amp;9TROŠKOVNIK &amp;A&amp;"-,Regular"     &amp;KFF0000 &amp;K000000GRAĐEVINSKI PROJEKT - PROJEKT POPRAVKA GRAĐEVINSKE KONSTRUKCIJE     GPP-13/21&amp;R&amp;"-,Bold"&amp;9&amp;P/&amp;N   </oddFooter>
  </headerFooter>
  <rowBreaks count="1" manualBreakCount="1">
    <brk id="48"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3900E-73B2-4FE1-ADA0-8E135DDC1B9E}">
  <sheetPr codeName="Sheet9"/>
  <dimension ref="A1:AT164"/>
  <sheetViews>
    <sheetView view="pageBreakPreview" topLeftCell="A22" zoomScaleNormal="100" zoomScaleSheetLayoutView="100" zoomScalePageLayoutView="60" workbookViewId="0">
      <selection activeCell="G44" sqref="G44"/>
    </sheetView>
  </sheetViews>
  <sheetFormatPr defaultRowHeight="14.4" x14ac:dyDescent="0.3"/>
  <cols>
    <col min="1" max="1" width="3.6640625" style="8" customWidth="1"/>
    <col min="2" max="2" width="3.6640625" style="9" customWidth="1"/>
    <col min="3" max="3" width="40.6640625" style="10" customWidth="1"/>
    <col min="4" max="4" width="7.6640625" style="11" customWidth="1"/>
    <col min="5" max="5" width="8.6640625" style="12" customWidth="1"/>
    <col min="6" max="6" width="12.6640625" style="14" customWidth="1"/>
    <col min="7" max="7" width="13.6640625" style="14" customWidth="1"/>
    <col min="8" max="8" width="8.88671875" style="61" hidden="1" customWidth="1"/>
    <col min="9" max="9" width="11" style="58" hidden="1" customWidth="1"/>
    <col min="10" max="10" width="8.88671875" style="57" hidden="1" customWidth="1"/>
    <col min="11" max="11" width="8.88671875" style="96" hidden="1" customWidth="1"/>
    <col min="12" max="12" width="8.88671875" style="72" hidden="1" customWidth="1"/>
    <col min="13" max="13" width="8.88671875" style="73" hidden="1" customWidth="1"/>
    <col min="14" max="14" width="8.88671875" style="55" hidden="1" customWidth="1"/>
    <col min="15" max="15" width="12" hidden="1" customWidth="1"/>
    <col min="16" max="16" width="5" hidden="1" customWidth="1"/>
    <col min="17" max="17" width="11.33203125" hidden="1" customWidth="1"/>
    <col min="26" max="26" width="11.109375" bestFit="1" customWidth="1"/>
    <col min="49" max="49" width="9.109375" customWidth="1"/>
  </cols>
  <sheetData>
    <row r="1" spans="1:11" x14ac:dyDescent="0.3">
      <c r="A1" s="218"/>
      <c r="B1" s="219"/>
      <c r="C1" s="220"/>
      <c r="D1" s="221"/>
      <c r="E1" s="222"/>
      <c r="F1" s="223"/>
      <c r="G1" s="223"/>
      <c r="K1" s="71"/>
    </row>
    <row r="2" spans="1:11" x14ac:dyDescent="0.3">
      <c r="A2" s="218"/>
      <c r="B2" s="219"/>
      <c r="C2" s="220"/>
      <c r="D2" s="221"/>
      <c r="E2" s="222"/>
      <c r="F2" s="223"/>
      <c r="G2" s="223"/>
      <c r="K2" s="71"/>
    </row>
    <row r="3" spans="1:11" x14ac:dyDescent="0.3">
      <c r="A3" s="218"/>
      <c r="B3" s="219"/>
      <c r="C3" s="220"/>
      <c r="D3" s="221"/>
      <c r="E3" s="222"/>
      <c r="F3" s="223"/>
      <c r="G3" s="223"/>
      <c r="K3" s="71"/>
    </row>
    <row r="4" spans="1:11" x14ac:dyDescent="0.3">
      <c r="A4" s="218"/>
      <c r="B4" s="219"/>
      <c r="C4" s="220"/>
      <c r="D4" s="221"/>
      <c r="E4" s="222"/>
      <c r="F4" s="223"/>
      <c r="G4" s="223"/>
      <c r="K4" s="71"/>
    </row>
    <row r="5" spans="1:11" x14ac:dyDescent="0.3">
      <c r="A5" s="218"/>
      <c r="B5" s="219"/>
      <c r="C5" s="284"/>
      <c r="D5" s="221"/>
      <c r="E5" s="222"/>
      <c r="F5" s="223"/>
      <c r="G5" s="223"/>
      <c r="K5" s="71"/>
    </row>
    <row r="6" spans="1:11" x14ac:dyDescent="0.3">
      <c r="A6" s="218"/>
      <c r="B6" s="219"/>
      <c r="C6" s="284"/>
      <c r="D6" s="221"/>
      <c r="E6" s="222"/>
      <c r="F6" s="223"/>
      <c r="G6" s="223"/>
      <c r="K6" s="71"/>
    </row>
    <row r="7" spans="1:11" x14ac:dyDescent="0.3">
      <c r="A7" s="218"/>
      <c r="B7" s="219"/>
      <c r="C7" s="285"/>
      <c r="D7" s="221"/>
      <c r="E7" s="222"/>
      <c r="F7" s="223"/>
      <c r="G7" s="223"/>
      <c r="K7" s="71"/>
    </row>
    <row r="8" spans="1:11" x14ac:dyDescent="0.3">
      <c r="A8" s="218"/>
      <c r="B8" s="219"/>
      <c r="C8" s="284"/>
      <c r="D8" s="221"/>
      <c r="E8" s="222"/>
      <c r="F8" s="223"/>
      <c r="G8" s="223"/>
      <c r="K8" s="71"/>
    </row>
    <row r="9" spans="1:11" x14ac:dyDescent="0.3">
      <c r="A9" s="218"/>
      <c r="B9" s="219"/>
      <c r="C9" s="285"/>
      <c r="D9" s="221"/>
      <c r="E9" s="222"/>
      <c r="F9" s="223"/>
      <c r="G9" s="223"/>
      <c r="K9" s="71"/>
    </row>
    <row r="10" spans="1:11" x14ac:dyDescent="0.3">
      <c r="A10" s="218"/>
      <c r="B10" s="219"/>
      <c r="C10" s="220"/>
      <c r="D10" s="221"/>
      <c r="E10" s="222"/>
      <c r="F10" s="223"/>
      <c r="G10" s="223"/>
      <c r="K10" s="71"/>
    </row>
    <row r="11" spans="1:11" x14ac:dyDescent="0.3">
      <c r="A11" s="218"/>
      <c r="B11" s="219"/>
      <c r="C11" s="220"/>
      <c r="D11" s="221"/>
      <c r="E11" s="222"/>
      <c r="F11" s="223"/>
      <c r="G11" s="223"/>
      <c r="K11" s="71"/>
    </row>
    <row r="12" spans="1:11" ht="71.25" customHeight="1" x14ac:dyDescent="0.3">
      <c r="A12" s="298" t="s">
        <v>324</v>
      </c>
      <c r="B12" s="299"/>
      <c r="C12" s="299"/>
      <c r="D12" s="299"/>
      <c r="E12" s="299"/>
      <c r="F12" s="299"/>
      <c r="G12" s="299"/>
      <c r="K12" s="71"/>
    </row>
    <row r="13" spans="1:11" x14ac:dyDescent="0.3">
      <c r="A13" s="218"/>
      <c r="B13" s="219"/>
      <c r="C13" s="220"/>
      <c r="D13" s="221"/>
      <c r="E13" s="222"/>
      <c r="F13" s="223"/>
      <c r="G13" s="223"/>
      <c r="K13" s="71"/>
    </row>
    <row r="14" spans="1:11" x14ac:dyDescent="0.3">
      <c r="A14" s="218"/>
      <c r="B14" s="219"/>
      <c r="C14" s="220"/>
      <c r="D14" s="221"/>
      <c r="E14" s="222"/>
      <c r="F14" s="223"/>
      <c r="G14" s="223"/>
      <c r="K14" s="71"/>
    </row>
    <row r="15" spans="1:11" x14ac:dyDescent="0.3">
      <c r="A15" s="218"/>
      <c r="B15" s="219"/>
      <c r="C15" s="220"/>
      <c r="D15" s="221"/>
      <c r="E15" s="222"/>
      <c r="F15" s="223"/>
      <c r="G15" s="223"/>
      <c r="K15" s="71"/>
    </row>
    <row r="16" spans="1:11" ht="59.25" customHeight="1" x14ac:dyDescent="0.3">
      <c r="A16" s="300" t="s">
        <v>326</v>
      </c>
      <c r="B16" s="301"/>
      <c r="C16" s="301"/>
      <c r="D16" s="301"/>
      <c r="E16" s="301"/>
      <c r="F16" s="301"/>
      <c r="G16" s="301"/>
      <c r="K16" s="71"/>
    </row>
    <row r="17" spans="1:11" x14ac:dyDescent="0.3">
      <c r="A17" s="218"/>
      <c r="B17" s="219"/>
      <c r="C17" s="220"/>
      <c r="D17" s="221"/>
      <c r="E17" s="222"/>
      <c r="F17" s="223"/>
      <c r="G17" s="223"/>
      <c r="K17" s="71"/>
    </row>
    <row r="18" spans="1:11" x14ac:dyDescent="0.3">
      <c r="A18" s="218"/>
      <c r="B18" s="219"/>
      <c r="C18" s="220"/>
      <c r="D18" s="221"/>
      <c r="E18" s="222"/>
      <c r="F18" s="223"/>
      <c r="G18" s="223"/>
      <c r="K18" s="71"/>
    </row>
    <row r="19" spans="1:11" x14ac:dyDescent="0.3">
      <c r="A19" s="218"/>
      <c r="B19" s="219"/>
      <c r="C19" s="220"/>
      <c r="D19" s="221"/>
      <c r="E19" s="222"/>
      <c r="F19" s="223"/>
      <c r="G19" s="223"/>
      <c r="K19" s="71"/>
    </row>
    <row r="20" spans="1:11" ht="18" x14ac:dyDescent="0.3">
      <c r="A20" s="302" t="s">
        <v>331</v>
      </c>
      <c r="B20" s="302"/>
      <c r="C20" s="302"/>
      <c r="D20" s="302"/>
      <c r="E20" s="302"/>
      <c r="F20" s="302"/>
      <c r="G20" s="302"/>
      <c r="K20" s="71"/>
    </row>
    <row r="21" spans="1:11" x14ac:dyDescent="0.3">
      <c r="A21" s="218"/>
      <c r="B21" s="219"/>
      <c r="C21" s="220"/>
      <c r="D21" s="221"/>
      <c r="E21" s="222"/>
      <c r="F21" s="223"/>
      <c r="G21" s="223"/>
      <c r="K21" s="71"/>
    </row>
    <row r="22" spans="1:11" x14ac:dyDescent="0.3">
      <c r="A22" s="218"/>
      <c r="B22" s="219"/>
      <c r="C22" s="220"/>
      <c r="D22" s="221"/>
      <c r="E22" s="222"/>
      <c r="F22" s="223"/>
      <c r="G22" s="223"/>
      <c r="K22" s="71"/>
    </row>
    <row r="23" spans="1:11" x14ac:dyDescent="0.3">
      <c r="A23" s="218"/>
      <c r="B23" s="219"/>
      <c r="C23" s="220"/>
      <c r="D23" s="221"/>
      <c r="E23" s="222"/>
      <c r="F23" s="223"/>
      <c r="G23" s="223"/>
      <c r="K23" s="71"/>
    </row>
    <row r="24" spans="1:11" x14ac:dyDescent="0.3">
      <c r="A24" s="218"/>
      <c r="B24" s="219"/>
      <c r="C24" s="220"/>
      <c r="D24" s="221"/>
      <c r="E24" s="222"/>
      <c r="F24" s="223"/>
      <c r="G24" s="223"/>
      <c r="K24" s="71"/>
    </row>
    <row r="25" spans="1:11" x14ac:dyDescent="0.3">
      <c r="A25" s="218"/>
      <c r="B25" s="219"/>
      <c r="C25" s="220"/>
      <c r="D25" s="221"/>
      <c r="E25" s="222"/>
      <c r="F25" s="223"/>
      <c r="G25" s="223"/>
      <c r="K25" s="71"/>
    </row>
    <row r="26" spans="1:11" x14ac:dyDescent="0.3">
      <c r="A26" s="218"/>
      <c r="B26" s="219"/>
      <c r="C26" s="220"/>
      <c r="D26" s="221"/>
      <c r="E26" s="222"/>
      <c r="F26" s="223"/>
      <c r="G26" s="223"/>
      <c r="K26" s="71"/>
    </row>
    <row r="27" spans="1:11" hidden="1" x14ac:dyDescent="0.3">
      <c r="A27" s="218"/>
      <c r="B27" s="219"/>
      <c r="C27" s="220"/>
      <c r="D27" s="221"/>
      <c r="E27" s="222"/>
      <c r="F27" s="223"/>
      <c r="G27" s="223"/>
      <c r="K27" s="71"/>
    </row>
    <row r="28" spans="1:11" x14ac:dyDescent="0.3">
      <c r="A28" s="218"/>
      <c r="B28" s="219"/>
      <c r="C28" s="220"/>
      <c r="D28" s="221"/>
      <c r="E28" s="222"/>
      <c r="F28" s="223"/>
      <c r="G28" s="223"/>
      <c r="K28" s="71"/>
    </row>
    <row r="29" spans="1:11" x14ac:dyDescent="0.3">
      <c r="A29" s="218"/>
      <c r="B29" s="219"/>
      <c r="C29" s="220"/>
      <c r="D29" s="221"/>
      <c r="E29" s="222"/>
      <c r="F29" s="223"/>
      <c r="G29" s="223"/>
      <c r="K29" s="71"/>
    </row>
    <row r="30" spans="1:11" x14ac:dyDescent="0.3">
      <c r="A30" s="218"/>
      <c r="B30" s="219"/>
      <c r="C30" s="220"/>
      <c r="D30" s="221"/>
      <c r="E30" s="222"/>
      <c r="F30" s="223"/>
      <c r="G30" s="223"/>
      <c r="K30" s="71"/>
    </row>
    <row r="31" spans="1:11" x14ac:dyDescent="0.3">
      <c r="A31" s="218"/>
      <c r="B31" s="219"/>
      <c r="C31" s="220"/>
      <c r="D31" s="221"/>
      <c r="E31" s="222"/>
      <c r="F31" s="223"/>
      <c r="G31" s="223"/>
      <c r="K31" s="71"/>
    </row>
    <row r="32" spans="1:11" x14ac:dyDescent="0.3">
      <c r="A32" s="218"/>
      <c r="B32" s="219"/>
      <c r="C32" s="220"/>
      <c r="D32" s="221"/>
      <c r="E32" s="222"/>
      <c r="F32" s="223"/>
      <c r="G32" s="223"/>
      <c r="K32" s="71"/>
    </row>
    <row r="33" spans="1:17" x14ac:dyDescent="0.3">
      <c r="A33" s="218"/>
      <c r="B33" s="219"/>
      <c r="C33" s="220"/>
      <c r="D33" s="221"/>
      <c r="E33" s="222"/>
      <c r="F33" s="223"/>
      <c r="G33" s="223"/>
    </row>
    <row r="34" spans="1:17" x14ac:dyDescent="0.3">
      <c r="A34" s="218"/>
      <c r="B34" s="219"/>
      <c r="C34" s="220"/>
      <c r="D34" s="221"/>
      <c r="E34" s="222"/>
      <c r="F34" s="223"/>
      <c r="G34" s="223"/>
    </row>
    <row r="35" spans="1:17" x14ac:dyDescent="0.3">
      <c r="A35" s="218"/>
      <c r="B35" s="219"/>
      <c r="C35" s="220"/>
      <c r="D35" s="221"/>
      <c r="E35" s="222"/>
      <c r="F35" s="223"/>
      <c r="G35" s="223"/>
    </row>
    <row r="36" spans="1:17" x14ac:dyDescent="0.3">
      <c r="A36" s="218"/>
      <c r="B36" s="219"/>
      <c r="C36" s="220"/>
      <c r="D36" s="221"/>
      <c r="E36" s="222"/>
      <c r="F36" s="223"/>
      <c r="G36" s="223"/>
    </row>
    <row r="37" spans="1:17" x14ac:dyDescent="0.3">
      <c r="A37" s="218"/>
      <c r="B37" s="219"/>
      <c r="C37" s="220"/>
      <c r="D37" s="221"/>
      <c r="E37" s="222"/>
      <c r="F37" s="223"/>
      <c r="G37" s="223"/>
    </row>
    <row r="38" spans="1:17" x14ac:dyDescent="0.3">
      <c r="A38" s="218"/>
      <c r="B38" s="219"/>
      <c r="C38" s="220"/>
      <c r="D38" s="221"/>
      <c r="E38" s="222"/>
      <c r="F38" s="223"/>
      <c r="G38" s="223"/>
    </row>
    <row r="39" spans="1:17" x14ac:dyDescent="0.3">
      <c r="A39" s="218"/>
      <c r="B39" s="219"/>
      <c r="C39" s="220"/>
      <c r="D39" s="221"/>
      <c r="E39" s="222"/>
      <c r="F39" s="223"/>
      <c r="G39" s="223"/>
    </row>
    <row r="40" spans="1:17" x14ac:dyDescent="0.3">
      <c r="A40" s="218"/>
      <c r="B40" s="219"/>
      <c r="C40" s="220"/>
      <c r="D40" s="221"/>
      <c r="E40" s="222"/>
      <c r="F40" s="223"/>
      <c r="G40" s="223"/>
    </row>
    <row r="41" spans="1:17" x14ac:dyDescent="0.3">
      <c r="A41" s="218"/>
      <c r="B41" s="219"/>
      <c r="C41" s="220"/>
      <c r="D41" s="221"/>
      <c r="E41" s="222"/>
      <c r="F41" s="223"/>
      <c r="G41" s="223"/>
    </row>
    <row r="42" spans="1:17" x14ac:dyDescent="0.3">
      <c r="A42" s="218"/>
      <c r="B42" s="219"/>
      <c r="C42" s="220"/>
      <c r="D42" s="221"/>
      <c r="E42" s="222"/>
      <c r="F42" s="223"/>
      <c r="G42" s="223"/>
    </row>
    <row r="43" spans="1:17" x14ac:dyDescent="0.3">
      <c r="A43" s="218"/>
      <c r="B43" s="219"/>
      <c r="C43" s="220"/>
      <c r="D43" s="221"/>
      <c r="E43" s="222"/>
      <c r="F43" s="223"/>
      <c r="G43" s="223"/>
    </row>
    <row r="44" spans="1:17" ht="27.6" x14ac:dyDescent="0.3">
      <c r="A44" s="224" t="s">
        <v>0</v>
      </c>
      <c r="B44" s="225"/>
      <c r="C44" s="226" t="s">
        <v>1</v>
      </c>
      <c r="D44" s="227" t="s">
        <v>2</v>
      </c>
      <c r="E44" s="228" t="s">
        <v>3</v>
      </c>
      <c r="F44" s="229" t="s">
        <v>4</v>
      </c>
      <c r="G44" s="230" t="s">
        <v>5</v>
      </c>
      <c r="H44" s="62"/>
      <c r="I44" s="59"/>
      <c r="J44" s="54"/>
      <c r="K44" s="97"/>
      <c r="L44" s="67"/>
      <c r="M44" s="69"/>
      <c r="N44" s="56" t="s">
        <v>113</v>
      </c>
      <c r="O44" s="52" t="s">
        <v>107</v>
      </c>
      <c r="P44" s="52" t="s">
        <v>108</v>
      </c>
      <c r="Q44" s="52" t="s">
        <v>109</v>
      </c>
    </row>
    <row r="45" spans="1:17" x14ac:dyDescent="0.3">
      <c r="A45" s="231" t="s">
        <v>6</v>
      </c>
      <c r="B45" s="232"/>
      <c r="C45" s="233" t="s">
        <v>7</v>
      </c>
      <c r="D45" s="234"/>
      <c r="E45" s="235"/>
      <c r="F45" s="236"/>
      <c r="G45" s="236"/>
    </row>
    <row r="46" spans="1:17" ht="331.2" x14ac:dyDescent="0.3">
      <c r="A46" s="237">
        <v>1</v>
      </c>
      <c r="B46" s="232" t="s">
        <v>8</v>
      </c>
      <c r="C46" s="238" t="s">
        <v>22</v>
      </c>
      <c r="D46" s="234" t="s">
        <v>10</v>
      </c>
      <c r="E46" s="235">
        <v>1</v>
      </c>
      <c r="F46" s="236">
        <v>0</v>
      </c>
      <c r="G46" s="236">
        <f t="shared" ref="G46:G54" si="0">$E46*$F46</f>
        <v>0</v>
      </c>
      <c r="H46" s="63"/>
      <c r="I46" s="60"/>
      <c r="J46" s="42"/>
      <c r="K46" s="98"/>
      <c r="L46" s="68"/>
      <c r="M46" s="70"/>
      <c r="N46" s="51">
        <v>3000</v>
      </c>
      <c r="O46" s="52"/>
      <c r="P46" s="52"/>
      <c r="Q46" s="52"/>
    </row>
    <row r="47" spans="1:17" ht="220.8" x14ac:dyDescent="0.3">
      <c r="A47" s="237">
        <v>1</v>
      </c>
      <c r="B47" s="232" t="s">
        <v>11</v>
      </c>
      <c r="C47" s="238" t="s">
        <v>23</v>
      </c>
      <c r="D47" s="234" t="s">
        <v>10</v>
      </c>
      <c r="E47" s="235">
        <v>1</v>
      </c>
      <c r="F47" s="236">
        <v>0</v>
      </c>
      <c r="G47" s="236">
        <f t="shared" si="0"/>
        <v>0</v>
      </c>
      <c r="H47" s="63"/>
      <c r="I47" s="60"/>
      <c r="J47" s="42"/>
      <c r="K47" s="98"/>
      <c r="L47" s="68"/>
      <c r="M47" s="70"/>
      <c r="N47" s="51">
        <v>15000</v>
      </c>
      <c r="O47" s="52"/>
      <c r="P47" s="52"/>
      <c r="Q47" s="52"/>
    </row>
    <row r="48" spans="1:17" ht="160.5" customHeight="1" x14ac:dyDescent="0.3">
      <c r="A48" s="237">
        <v>1</v>
      </c>
      <c r="B48" s="232" t="s">
        <v>13</v>
      </c>
      <c r="C48" s="238" t="s">
        <v>464</v>
      </c>
      <c r="D48" s="234" t="s">
        <v>29</v>
      </c>
      <c r="E48" s="235">
        <f t="shared" ref="E48:E54" si="1">SUM(H48:N48)</f>
        <v>10</v>
      </c>
      <c r="F48" s="236">
        <v>0</v>
      </c>
      <c r="G48" s="236">
        <f t="shared" si="0"/>
        <v>0</v>
      </c>
      <c r="H48" s="63"/>
      <c r="I48" s="60"/>
      <c r="J48" s="42"/>
      <c r="K48" s="98"/>
      <c r="L48" s="68"/>
      <c r="M48" s="70"/>
      <c r="N48" s="51">
        <v>10</v>
      </c>
      <c r="O48" s="52"/>
      <c r="P48" s="52"/>
      <c r="Q48" s="52"/>
    </row>
    <row r="49" spans="1:17" ht="165.6" x14ac:dyDescent="0.3">
      <c r="A49" s="237">
        <v>1</v>
      </c>
      <c r="B49" s="232" t="s">
        <v>26</v>
      </c>
      <c r="C49" s="238" t="s">
        <v>465</v>
      </c>
      <c r="D49" s="234" t="s">
        <v>29</v>
      </c>
      <c r="E49" s="235">
        <f t="shared" si="1"/>
        <v>1</v>
      </c>
      <c r="F49" s="236">
        <v>0</v>
      </c>
      <c r="G49" s="236">
        <f t="shared" si="0"/>
        <v>0</v>
      </c>
      <c r="H49" s="63"/>
      <c r="I49" s="60"/>
      <c r="J49" s="42"/>
      <c r="K49" s="98"/>
      <c r="L49" s="68"/>
      <c r="M49" s="70"/>
      <c r="N49" s="51">
        <v>1</v>
      </c>
      <c r="O49" s="52"/>
      <c r="P49" s="52"/>
      <c r="Q49" s="52"/>
    </row>
    <row r="50" spans="1:17" ht="151.80000000000001" x14ac:dyDescent="0.3">
      <c r="A50" s="237">
        <v>1</v>
      </c>
      <c r="B50" s="232" t="s">
        <v>28</v>
      </c>
      <c r="C50" s="238" t="s">
        <v>39</v>
      </c>
      <c r="D50" s="234" t="s">
        <v>37</v>
      </c>
      <c r="E50" s="235">
        <f t="shared" si="1"/>
        <v>0.51</v>
      </c>
      <c r="F50" s="236">
        <v>0</v>
      </c>
      <c r="G50" s="236">
        <f t="shared" si="0"/>
        <v>0</v>
      </c>
      <c r="H50" s="63"/>
      <c r="I50" s="60"/>
      <c r="J50" s="42"/>
      <c r="K50" s="98"/>
      <c r="L50" s="68"/>
      <c r="M50" s="70"/>
      <c r="N50" s="51">
        <v>0.51</v>
      </c>
      <c r="O50" s="52"/>
      <c r="P50" s="52"/>
      <c r="Q50" s="52"/>
    </row>
    <row r="51" spans="1:17" ht="179.4" x14ac:dyDescent="0.3">
      <c r="A51" s="237">
        <v>1</v>
      </c>
      <c r="B51" s="232" t="s">
        <v>30</v>
      </c>
      <c r="C51" s="238" t="s">
        <v>466</v>
      </c>
      <c r="D51" s="234" t="s">
        <v>25</v>
      </c>
      <c r="E51" s="235">
        <f t="shared" si="1"/>
        <v>0.5</v>
      </c>
      <c r="F51" s="236">
        <v>0</v>
      </c>
      <c r="G51" s="236">
        <f t="shared" si="0"/>
        <v>0</v>
      </c>
      <c r="H51" s="63"/>
      <c r="I51" s="60"/>
      <c r="J51" s="42"/>
      <c r="K51" s="98"/>
      <c r="L51" s="68"/>
      <c r="M51" s="70"/>
      <c r="N51" s="51">
        <v>0.5</v>
      </c>
      <c r="O51" s="52"/>
      <c r="P51" s="52"/>
      <c r="Q51" s="52"/>
    </row>
    <row r="52" spans="1:17" ht="125.25" customHeight="1" x14ac:dyDescent="0.3">
      <c r="A52" s="237">
        <v>1</v>
      </c>
      <c r="B52" s="232" t="s">
        <v>31</v>
      </c>
      <c r="C52" s="238" t="s">
        <v>311</v>
      </c>
      <c r="D52" s="234" t="s">
        <v>25</v>
      </c>
      <c r="E52" s="235">
        <f t="shared" si="1"/>
        <v>3.4333333333333331</v>
      </c>
      <c r="F52" s="236">
        <v>0</v>
      </c>
      <c r="G52" s="236">
        <f t="shared" si="0"/>
        <v>0</v>
      </c>
      <c r="H52" s="63"/>
      <c r="I52" s="60"/>
      <c r="J52" s="42"/>
      <c r="K52" s="98"/>
      <c r="L52" s="68"/>
      <c r="M52" s="70"/>
      <c r="N52" s="51">
        <f>(0.02+0.012+0.01+0.013+0.012+0.01+0.026)/0.03</f>
        <v>3.4333333333333331</v>
      </c>
      <c r="O52" s="52"/>
      <c r="P52" s="52"/>
      <c r="Q52" s="52"/>
    </row>
    <row r="53" spans="1:17" ht="151.80000000000001" x14ac:dyDescent="0.3">
      <c r="A53" s="237">
        <v>1</v>
      </c>
      <c r="B53" s="232" t="s">
        <v>33</v>
      </c>
      <c r="C53" s="238" t="s">
        <v>54</v>
      </c>
      <c r="D53" s="234" t="s">
        <v>25</v>
      </c>
      <c r="E53" s="235">
        <f t="shared" si="1"/>
        <v>2.88</v>
      </c>
      <c r="F53" s="236">
        <v>0</v>
      </c>
      <c r="G53" s="236">
        <f t="shared" si="0"/>
        <v>0</v>
      </c>
      <c r="H53" s="63"/>
      <c r="I53" s="60"/>
      <c r="J53" s="42"/>
      <c r="K53" s="98"/>
      <c r="L53" s="68"/>
      <c r="M53" s="70"/>
      <c r="N53" s="51">
        <v>2.88</v>
      </c>
      <c r="O53" s="52"/>
      <c r="P53" s="52"/>
      <c r="Q53" s="52"/>
    </row>
    <row r="54" spans="1:17" ht="179.4" x14ac:dyDescent="0.3">
      <c r="A54" s="237">
        <v>1</v>
      </c>
      <c r="B54" s="232" t="s">
        <v>35</v>
      </c>
      <c r="C54" s="238" t="s">
        <v>595</v>
      </c>
      <c r="D54" s="234" t="s">
        <v>29</v>
      </c>
      <c r="E54" s="235">
        <f t="shared" si="1"/>
        <v>2</v>
      </c>
      <c r="F54" s="239">
        <v>0</v>
      </c>
      <c r="G54" s="236">
        <f t="shared" si="0"/>
        <v>0</v>
      </c>
      <c r="H54" s="63"/>
      <c r="I54" s="60"/>
      <c r="J54" s="42"/>
      <c r="K54" s="98"/>
      <c r="L54" s="68"/>
      <c r="M54" s="70"/>
      <c r="N54" s="51">
        <v>2</v>
      </c>
      <c r="O54" s="52"/>
      <c r="P54" s="52"/>
      <c r="Q54" s="52"/>
    </row>
    <row r="55" spans="1:17" ht="72" customHeight="1" x14ac:dyDescent="0.3">
      <c r="A55" s="237">
        <v>1</v>
      </c>
      <c r="B55" s="232" t="s">
        <v>38</v>
      </c>
      <c r="C55" s="238" t="s">
        <v>59</v>
      </c>
      <c r="D55" s="234" t="s">
        <v>37</v>
      </c>
      <c r="E55" s="235">
        <f>SUM(H55:N55)*1.15</f>
        <v>2.1332499999999999</v>
      </c>
      <c r="F55" s="236">
        <v>0</v>
      </c>
      <c r="G55" s="236">
        <f>$E55*$F55</f>
        <v>0</v>
      </c>
      <c r="H55" s="63"/>
      <c r="I55" s="60"/>
      <c r="J55" s="42"/>
      <c r="K55" s="98"/>
      <c r="L55" s="68"/>
      <c r="M55" s="70"/>
      <c r="N55" s="51">
        <f>N50+N51*0.18+N52*0.03+N53*0.4</f>
        <v>1.855</v>
      </c>
      <c r="O55" s="52"/>
      <c r="P55" s="52"/>
      <c r="Q55" s="52"/>
    </row>
    <row r="56" spans="1:17" ht="96.6" x14ac:dyDescent="0.3">
      <c r="A56" s="237">
        <v>1</v>
      </c>
      <c r="B56" s="232" t="s">
        <v>40</v>
      </c>
      <c r="C56" s="238" t="s">
        <v>596</v>
      </c>
      <c r="D56" s="234" t="s">
        <v>37</v>
      </c>
      <c r="E56" s="235">
        <f>SUM(H56:N56)*1.15</f>
        <v>2.1332499999999999</v>
      </c>
      <c r="F56" s="236">
        <v>0</v>
      </c>
      <c r="G56" s="236">
        <f>$E56*$F56</f>
        <v>0</v>
      </c>
      <c r="H56" s="63"/>
      <c r="I56" s="60"/>
      <c r="J56" s="42"/>
      <c r="K56" s="98"/>
      <c r="L56" s="68"/>
      <c r="M56" s="70"/>
      <c r="N56" s="51">
        <f>N50+N51*0.18+N52*0.03+N53*0.4</f>
        <v>1.855</v>
      </c>
      <c r="O56" s="52"/>
      <c r="P56" s="52"/>
      <c r="Q56" s="52"/>
    </row>
    <row r="57" spans="1:17" x14ac:dyDescent="0.3">
      <c r="A57" s="231" t="s">
        <v>15</v>
      </c>
      <c r="B57" s="232"/>
      <c r="C57" s="240" t="s">
        <v>16</v>
      </c>
      <c r="D57" s="234"/>
      <c r="E57" s="235"/>
      <c r="F57" s="236"/>
      <c r="G57" s="236"/>
      <c r="H57" s="63"/>
      <c r="I57" s="60"/>
      <c r="J57" s="42"/>
      <c r="K57" s="98"/>
      <c r="L57" s="68"/>
      <c r="M57" s="70"/>
      <c r="N57" s="51"/>
      <c r="O57" s="52"/>
      <c r="P57" s="52"/>
      <c r="Q57" s="52"/>
    </row>
    <row r="58" spans="1:17" ht="138" x14ac:dyDescent="0.3">
      <c r="A58" s="237">
        <v>2</v>
      </c>
      <c r="B58" s="232" t="s">
        <v>8</v>
      </c>
      <c r="C58" s="241" t="s">
        <v>312</v>
      </c>
      <c r="D58" s="234" t="s">
        <v>37</v>
      </c>
      <c r="E58" s="235">
        <f>SUM(H58:N58)</f>
        <v>0.57000000000000006</v>
      </c>
      <c r="F58" s="236">
        <v>0</v>
      </c>
      <c r="G58" s="236">
        <f>$E58*$F58</f>
        <v>0</v>
      </c>
      <c r="H58" s="63"/>
      <c r="I58" s="60"/>
      <c r="J58" s="42"/>
      <c r="K58" s="98"/>
      <c r="L58" s="68"/>
      <c r="M58" s="70"/>
      <c r="N58" s="51">
        <f>0.38*1.5</f>
        <v>0.57000000000000006</v>
      </c>
      <c r="O58" s="52"/>
      <c r="P58" s="52"/>
      <c r="Q58" s="52"/>
    </row>
    <row r="59" spans="1:17" ht="96.6" x14ac:dyDescent="0.3">
      <c r="A59" s="237">
        <v>2</v>
      </c>
      <c r="B59" s="232" t="s">
        <v>11</v>
      </c>
      <c r="C59" s="241" t="s">
        <v>597</v>
      </c>
      <c r="D59" s="234" t="s">
        <v>25</v>
      </c>
      <c r="E59" s="235">
        <f>SUM(H59:N59)</f>
        <v>6.5</v>
      </c>
      <c r="F59" s="236">
        <v>0</v>
      </c>
      <c r="G59" s="236">
        <f>$E59*$F59</f>
        <v>0</v>
      </c>
      <c r="H59" s="63"/>
      <c r="I59" s="60"/>
      <c r="J59" s="42"/>
      <c r="K59" s="98"/>
      <c r="L59" s="68"/>
      <c r="M59" s="70"/>
      <c r="N59" s="51">
        <v>6.5</v>
      </c>
      <c r="O59" s="52"/>
      <c r="P59" s="52"/>
      <c r="Q59" s="52"/>
    </row>
    <row r="60" spans="1:17" x14ac:dyDescent="0.3">
      <c r="A60" s="231" t="s">
        <v>63</v>
      </c>
      <c r="B60" s="232"/>
      <c r="C60" s="240" t="s">
        <v>64</v>
      </c>
      <c r="D60" s="234"/>
      <c r="E60" s="235"/>
      <c r="F60" s="236"/>
      <c r="G60" s="236"/>
      <c r="H60" s="63"/>
      <c r="I60" s="60"/>
      <c r="J60" s="42"/>
      <c r="K60" s="98"/>
      <c r="L60" s="68"/>
      <c r="M60" s="70"/>
      <c r="N60" s="51"/>
      <c r="O60" s="52"/>
      <c r="P60" s="52"/>
      <c r="Q60" s="52"/>
    </row>
    <row r="61" spans="1:17" ht="179.4" x14ac:dyDescent="0.3">
      <c r="A61" s="237">
        <v>3</v>
      </c>
      <c r="B61" s="232" t="s">
        <v>8</v>
      </c>
      <c r="C61" s="238" t="s">
        <v>601</v>
      </c>
      <c r="D61" s="234" t="s">
        <v>29</v>
      </c>
      <c r="E61" s="235">
        <f t="shared" ref="E61:E76" si="2">SUM(H61:N61)</f>
        <v>38</v>
      </c>
      <c r="F61" s="239">
        <v>0</v>
      </c>
      <c r="G61" s="236">
        <f t="shared" ref="G61:G65" si="3">$E61*$F61</f>
        <v>0</v>
      </c>
      <c r="H61" s="63"/>
      <c r="I61" s="60"/>
      <c r="J61" s="42"/>
      <c r="K61" s="98"/>
      <c r="L61" s="68"/>
      <c r="M61" s="70"/>
      <c r="N61" s="51">
        <v>38</v>
      </c>
      <c r="O61" s="52"/>
      <c r="P61" s="52"/>
      <c r="Q61" s="52"/>
    </row>
    <row r="62" spans="1:17" ht="179.4" x14ac:dyDescent="0.3">
      <c r="A62" s="237">
        <v>3</v>
      </c>
      <c r="B62" s="232" t="s">
        <v>11</v>
      </c>
      <c r="C62" s="238" t="s">
        <v>467</v>
      </c>
      <c r="D62" s="234" t="s">
        <v>71</v>
      </c>
      <c r="E62" s="235">
        <f t="shared" si="2"/>
        <v>158.66</v>
      </c>
      <c r="F62" s="236">
        <v>0</v>
      </c>
      <c r="G62" s="236">
        <f t="shared" si="3"/>
        <v>0</v>
      </c>
      <c r="H62" s="63"/>
      <c r="I62" s="60"/>
      <c r="J62" s="42"/>
      <c r="K62" s="98"/>
      <c r="L62" s="68"/>
      <c r="M62" s="70"/>
      <c r="N62" s="51">
        <v>158.66</v>
      </c>
      <c r="O62" s="52">
        <f>5*1.3</f>
        <v>6.5</v>
      </c>
      <c r="P62" s="52">
        <f>14*1.3</f>
        <v>18.2</v>
      </c>
      <c r="Q62" s="52">
        <v>12</v>
      </c>
    </row>
    <row r="63" spans="1:17" ht="165.6" x14ac:dyDescent="0.3">
      <c r="A63" s="237">
        <v>3</v>
      </c>
      <c r="B63" s="232" t="s">
        <v>13</v>
      </c>
      <c r="C63" s="238" t="s">
        <v>72</v>
      </c>
      <c r="D63" s="234" t="s">
        <v>71</v>
      </c>
      <c r="E63" s="235">
        <f t="shared" si="2"/>
        <v>16.09</v>
      </c>
      <c r="F63" s="236">
        <v>0</v>
      </c>
      <c r="G63" s="236">
        <f t="shared" si="3"/>
        <v>0</v>
      </c>
      <c r="H63" s="63"/>
      <c r="I63" s="60"/>
      <c r="J63" s="42"/>
      <c r="K63" s="98"/>
      <c r="L63" s="68"/>
      <c r="M63" s="70"/>
      <c r="N63" s="51">
        <v>16.09</v>
      </c>
      <c r="O63" s="52">
        <f>6*1.3</f>
        <v>7.8000000000000007</v>
      </c>
      <c r="P63" s="52">
        <f>10*1.3</f>
        <v>13</v>
      </c>
      <c r="Q63" s="52">
        <v>12</v>
      </c>
    </row>
    <row r="64" spans="1:17" ht="115.5" customHeight="1" x14ac:dyDescent="0.3">
      <c r="A64" s="237">
        <v>3</v>
      </c>
      <c r="B64" s="232" t="s">
        <v>26</v>
      </c>
      <c r="C64" s="238" t="s">
        <v>74</v>
      </c>
      <c r="D64" s="234" t="s">
        <v>25</v>
      </c>
      <c r="E64" s="235">
        <f t="shared" si="2"/>
        <v>11.77</v>
      </c>
      <c r="F64" s="236">
        <v>0</v>
      </c>
      <c r="G64" s="236">
        <f t="shared" si="3"/>
        <v>0</v>
      </c>
      <c r="H64" s="63"/>
      <c r="I64" s="60"/>
      <c r="J64" s="42"/>
      <c r="K64" s="98"/>
      <c r="L64" s="68"/>
      <c r="M64" s="70"/>
      <c r="N64" s="51">
        <f>11.77</f>
        <v>11.77</v>
      </c>
      <c r="O64" s="52">
        <f>20*1.3</f>
        <v>26</v>
      </c>
      <c r="P64" s="52">
        <f>140*1.3</f>
        <v>182</v>
      </c>
      <c r="Q64" s="52">
        <v>300</v>
      </c>
    </row>
    <row r="65" spans="1:17" ht="151.80000000000001" x14ac:dyDescent="0.3">
      <c r="A65" s="237">
        <v>3</v>
      </c>
      <c r="B65" s="232" t="s">
        <v>28</v>
      </c>
      <c r="C65" s="238" t="s">
        <v>76</v>
      </c>
      <c r="D65" s="234" t="s">
        <v>37</v>
      </c>
      <c r="E65" s="235">
        <f t="shared" si="2"/>
        <v>1.63</v>
      </c>
      <c r="F65" s="236">
        <v>0</v>
      </c>
      <c r="G65" s="236">
        <f t="shared" si="3"/>
        <v>0</v>
      </c>
      <c r="H65" s="63"/>
      <c r="I65" s="60"/>
      <c r="J65" s="42"/>
      <c r="K65" s="98"/>
      <c r="L65" s="68"/>
      <c r="M65" s="70"/>
      <c r="N65" s="51">
        <v>1.63</v>
      </c>
      <c r="O65" s="52">
        <f>470*1.3</f>
        <v>611</v>
      </c>
      <c r="P65" s="52">
        <f>200*1.3</f>
        <v>260</v>
      </c>
      <c r="Q65" s="52">
        <v>1900</v>
      </c>
    </row>
    <row r="66" spans="1:17" ht="179.4" x14ac:dyDescent="0.3">
      <c r="A66" s="237">
        <v>3</v>
      </c>
      <c r="B66" s="232" t="s">
        <v>30</v>
      </c>
      <c r="C66" s="241" t="s">
        <v>313</v>
      </c>
      <c r="D66" s="234" t="s">
        <v>29</v>
      </c>
      <c r="E66" s="242">
        <f t="shared" si="2"/>
        <v>7</v>
      </c>
      <c r="F66" s="236">
        <v>0</v>
      </c>
      <c r="G66" s="236">
        <f>$E66*$F66</f>
        <v>0</v>
      </c>
      <c r="H66" s="63"/>
      <c r="I66" s="60"/>
      <c r="J66" s="42"/>
      <c r="K66" s="98"/>
      <c r="L66" s="68"/>
      <c r="M66" s="70"/>
      <c r="N66" s="51">
        <v>7</v>
      </c>
      <c r="O66" s="52">
        <f>22000</f>
        <v>22000</v>
      </c>
      <c r="P66" s="52"/>
      <c r="Q66" s="52">
        <v>9000</v>
      </c>
    </row>
    <row r="67" spans="1:17" ht="179.4" x14ac:dyDescent="0.3">
      <c r="A67" s="237">
        <v>3</v>
      </c>
      <c r="B67" s="232" t="s">
        <v>31</v>
      </c>
      <c r="C67" s="241" t="s">
        <v>314</v>
      </c>
      <c r="D67" s="234" t="s">
        <v>29</v>
      </c>
      <c r="E67" s="242">
        <f t="shared" si="2"/>
        <v>2</v>
      </c>
      <c r="F67" s="236">
        <v>0</v>
      </c>
      <c r="G67" s="236">
        <f t="shared" ref="G67:G76" si="4">$E67*$F67</f>
        <v>0</v>
      </c>
      <c r="H67" s="63"/>
      <c r="I67" s="60"/>
      <c r="J67" s="42"/>
      <c r="K67" s="98"/>
      <c r="L67" s="68"/>
      <c r="M67" s="70"/>
      <c r="N67" s="51">
        <v>2</v>
      </c>
      <c r="O67" s="52">
        <f>12100*1.2</f>
        <v>14520</v>
      </c>
      <c r="P67" s="52"/>
      <c r="Q67" s="52">
        <v>9000</v>
      </c>
    </row>
    <row r="68" spans="1:17" ht="179.4" x14ac:dyDescent="0.3">
      <c r="A68" s="237">
        <v>3</v>
      </c>
      <c r="B68" s="232" t="s">
        <v>33</v>
      </c>
      <c r="C68" s="241" t="s">
        <v>315</v>
      </c>
      <c r="D68" s="234" t="s">
        <v>29</v>
      </c>
      <c r="E68" s="242">
        <f t="shared" si="2"/>
        <v>1</v>
      </c>
      <c r="F68" s="236">
        <v>0</v>
      </c>
      <c r="G68" s="236">
        <f t="shared" si="4"/>
        <v>0</v>
      </c>
      <c r="H68" s="63"/>
      <c r="I68" s="60"/>
      <c r="J68" s="42"/>
      <c r="K68" s="98"/>
      <c r="L68" s="68"/>
      <c r="M68" s="70"/>
      <c r="N68" s="51">
        <v>1</v>
      </c>
      <c r="O68" s="52">
        <f>12000</f>
        <v>12000</v>
      </c>
      <c r="P68" s="52"/>
      <c r="Q68" s="52">
        <v>9000</v>
      </c>
    </row>
    <row r="69" spans="1:17" ht="179.4" x14ac:dyDescent="0.3">
      <c r="A69" s="237">
        <v>3</v>
      </c>
      <c r="B69" s="232" t="s">
        <v>35</v>
      </c>
      <c r="C69" s="241" t="s">
        <v>316</v>
      </c>
      <c r="D69" s="234" t="s">
        <v>29</v>
      </c>
      <c r="E69" s="235">
        <f t="shared" si="2"/>
        <v>1</v>
      </c>
      <c r="F69" s="236">
        <v>0</v>
      </c>
      <c r="G69" s="236">
        <f t="shared" si="4"/>
        <v>0</v>
      </c>
      <c r="H69" s="63"/>
      <c r="I69" s="60"/>
      <c r="J69" s="42"/>
      <c r="K69" s="98"/>
      <c r="L69" s="68"/>
      <c r="M69" s="70"/>
      <c r="N69" s="51">
        <v>1</v>
      </c>
      <c r="O69" s="52">
        <f>10500</f>
        <v>10500</v>
      </c>
      <c r="P69" s="52"/>
      <c r="Q69" s="52">
        <v>5000</v>
      </c>
    </row>
    <row r="70" spans="1:17" ht="151.80000000000001" x14ac:dyDescent="0.3">
      <c r="A70" s="237">
        <v>3</v>
      </c>
      <c r="B70" s="232" t="s">
        <v>38</v>
      </c>
      <c r="C70" s="241" t="s">
        <v>317</v>
      </c>
      <c r="D70" s="234" t="s">
        <v>29</v>
      </c>
      <c r="E70" s="235">
        <f t="shared" si="2"/>
        <v>1</v>
      </c>
      <c r="F70" s="236">
        <v>0</v>
      </c>
      <c r="G70" s="236">
        <f t="shared" si="4"/>
        <v>0</v>
      </c>
      <c r="H70" s="63"/>
      <c r="I70" s="60"/>
      <c r="J70" s="42"/>
      <c r="K70" s="98"/>
      <c r="L70" s="68"/>
      <c r="M70" s="70"/>
      <c r="N70" s="51">
        <v>1</v>
      </c>
      <c r="O70" s="52">
        <v>6000</v>
      </c>
      <c r="P70" s="52"/>
      <c r="Q70" s="52">
        <v>5000</v>
      </c>
    </row>
    <row r="71" spans="1:17" ht="179.4" x14ac:dyDescent="0.3">
      <c r="A71" s="237">
        <v>3</v>
      </c>
      <c r="B71" s="232" t="s">
        <v>40</v>
      </c>
      <c r="C71" s="241" t="s">
        <v>322</v>
      </c>
      <c r="D71" s="234" t="s">
        <v>29</v>
      </c>
      <c r="E71" s="235">
        <v>3</v>
      </c>
      <c r="F71" s="236">
        <v>0</v>
      </c>
      <c r="G71" s="236">
        <f t="shared" si="4"/>
        <v>0</v>
      </c>
      <c r="H71" s="63"/>
      <c r="I71" s="60"/>
      <c r="J71" s="42"/>
      <c r="K71" s="98"/>
      <c r="L71" s="68"/>
      <c r="M71" s="70"/>
      <c r="N71" s="51">
        <v>4</v>
      </c>
      <c r="O71" s="52">
        <v>10000</v>
      </c>
      <c r="P71" s="52"/>
      <c r="Q71" s="52">
        <v>5000</v>
      </c>
    </row>
    <row r="72" spans="1:17" ht="179.4" x14ac:dyDescent="0.3">
      <c r="A72" s="237">
        <v>3</v>
      </c>
      <c r="B72" s="232" t="s">
        <v>42</v>
      </c>
      <c r="C72" s="241" t="s">
        <v>318</v>
      </c>
      <c r="D72" s="234" t="s">
        <v>29</v>
      </c>
      <c r="E72" s="235">
        <v>2</v>
      </c>
      <c r="F72" s="236">
        <v>0</v>
      </c>
      <c r="G72" s="236">
        <f t="shared" si="4"/>
        <v>0</v>
      </c>
      <c r="H72" s="63"/>
      <c r="I72" s="60"/>
      <c r="J72" s="42"/>
      <c r="K72" s="98"/>
      <c r="L72" s="68"/>
      <c r="M72" s="70"/>
      <c r="N72" s="51">
        <v>1</v>
      </c>
      <c r="O72" s="52">
        <v>13000</v>
      </c>
      <c r="P72" s="52"/>
      <c r="Q72" s="52">
        <v>5000</v>
      </c>
    </row>
    <row r="73" spans="1:17" ht="179.4" x14ac:dyDescent="0.3">
      <c r="A73" s="237">
        <v>3</v>
      </c>
      <c r="B73" s="232" t="s">
        <v>44</v>
      </c>
      <c r="C73" s="241" t="s">
        <v>319</v>
      </c>
      <c r="D73" s="234" t="s">
        <v>29</v>
      </c>
      <c r="E73" s="235">
        <f t="shared" si="2"/>
        <v>1</v>
      </c>
      <c r="F73" s="236">
        <v>0</v>
      </c>
      <c r="G73" s="236">
        <f t="shared" si="4"/>
        <v>0</v>
      </c>
      <c r="H73" s="63"/>
      <c r="I73" s="60"/>
      <c r="J73" s="42"/>
      <c r="K73" s="98"/>
      <c r="L73" s="68"/>
      <c r="M73" s="70"/>
      <c r="N73" s="51">
        <v>1</v>
      </c>
      <c r="O73" s="52">
        <v>12500</v>
      </c>
      <c r="P73" s="52"/>
      <c r="Q73" s="52">
        <v>5000</v>
      </c>
    </row>
    <row r="74" spans="1:17" ht="179.4" x14ac:dyDescent="0.3">
      <c r="A74" s="237">
        <v>3</v>
      </c>
      <c r="B74" s="232" t="s">
        <v>46</v>
      </c>
      <c r="C74" s="241" t="s">
        <v>486</v>
      </c>
      <c r="D74" s="234" t="s">
        <v>29</v>
      </c>
      <c r="E74" s="235">
        <f t="shared" si="2"/>
        <v>1</v>
      </c>
      <c r="F74" s="236">
        <v>0</v>
      </c>
      <c r="G74" s="236">
        <f t="shared" si="4"/>
        <v>0</v>
      </c>
      <c r="H74" s="63"/>
      <c r="I74" s="60"/>
      <c r="J74" s="42"/>
      <c r="K74" s="98"/>
      <c r="L74" s="68"/>
      <c r="M74" s="70"/>
      <c r="N74" s="51">
        <v>1</v>
      </c>
      <c r="O74" s="52">
        <v>9000</v>
      </c>
      <c r="P74" s="52"/>
      <c r="Q74" s="52">
        <v>5000</v>
      </c>
    </row>
    <row r="75" spans="1:17" ht="179.4" x14ac:dyDescent="0.3">
      <c r="A75" s="237">
        <v>3</v>
      </c>
      <c r="B75" s="232" t="s">
        <v>48</v>
      </c>
      <c r="C75" s="241" t="s">
        <v>487</v>
      </c>
      <c r="D75" s="234" t="s">
        <v>29</v>
      </c>
      <c r="E75" s="235">
        <f t="shared" si="2"/>
        <v>1</v>
      </c>
      <c r="F75" s="236">
        <v>0</v>
      </c>
      <c r="G75" s="236">
        <f t="shared" si="4"/>
        <v>0</v>
      </c>
      <c r="H75" s="63"/>
      <c r="I75" s="60"/>
      <c r="J75" s="42"/>
      <c r="K75" s="98"/>
      <c r="L75" s="68"/>
      <c r="M75" s="70"/>
      <c r="N75" s="51">
        <v>1</v>
      </c>
      <c r="O75" s="52">
        <f>9000*1.3</f>
        <v>11700</v>
      </c>
      <c r="P75" s="52"/>
      <c r="Q75" s="52">
        <v>5000</v>
      </c>
    </row>
    <row r="76" spans="1:17" ht="138" x14ac:dyDescent="0.3">
      <c r="A76" s="237">
        <v>3</v>
      </c>
      <c r="B76" s="232" t="s">
        <v>50</v>
      </c>
      <c r="C76" s="241" t="s">
        <v>80</v>
      </c>
      <c r="D76" s="234" t="s">
        <v>29</v>
      </c>
      <c r="E76" s="235">
        <f t="shared" si="2"/>
        <v>1</v>
      </c>
      <c r="F76" s="236">
        <v>0</v>
      </c>
      <c r="G76" s="236">
        <f t="shared" si="4"/>
        <v>0</v>
      </c>
      <c r="H76" s="63"/>
      <c r="I76" s="60"/>
      <c r="J76" s="42"/>
      <c r="K76" s="98"/>
      <c r="L76" s="68"/>
      <c r="M76" s="70"/>
      <c r="N76" s="51">
        <v>1</v>
      </c>
      <c r="O76" s="52">
        <f>3300*1.2</f>
        <v>3960</v>
      </c>
      <c r="P76" s="52"/>
      <c r="Q76" s="52">
        <v>5000</v>
      </c>
    </row>
    <row r="77" spans="1:17" x14ac:dyDescent="0.3">
      <c r="A77" s="231" t="s">
        <v>83</v>
      </c>
      <c r="B77" s="232"/>
      <c r="C77" s="240" t="s">
        <v>84</v>
      </c>
      <c r="D77" s="234"/>
      <c r="E77" s="235"/>
      <c r="F77" s="236"/>
      <c r="G77" s="236"/>
      <c r="H77" s="63"/>
      <c r="I77" s="60"/>
      <c r="J77" s="42"/>
      <c r="K77" s="98"/>
      <c r="L77" s="68"/>
      <c r="M77" s="70"/>
      <c r="N77" s="51"/>
      <c r="O77" s="52"/>
      <c r="P77" s="52"/>
      <c r="Q77" s="52"/>
    </row>
    <row r="78" spans="1:17" ht="179.4" x14ac:dyDescent="0.3">
      <c r="A78" s="237">
        <v>4</v>
      </c>
      <c r="B78" s="232" t="s">
        <v>8</v>
      </c>
      <c r="C78" s="238" t="s">
        <v>488</v>
      </c>
      <c r="D78" s="234" t="s">
        <v>25</v>
      </c>
      <c r="E78" s="235">
        <f>SUM(H78:N78)</f>
        <v>5</v>
      </c>
      <c r="F78" s="236">
        <v>0</v>
      </c>
      <c r="G78" s="236">
        <f>$E78*$F78</f>
        <v>0</v>
      </c>
      <c r="H78" s="63"/>
      <c r="I78" s="60"/>
      <c r="J78" s="42"/>
      <c r="K78" s="98"/>
      <c r="L78" s="68"/>
      <c r="M78" s="70"/>
      <c r="N78" s="51">
        <v>5</v>
      </c>
      <c r="O78" s="52"/>
      <c r="P78" s="52">
        <f>120*1.3</f>
        <v>156</v>
      </c>
      <c r="Q78" s="52">
        <v>210</v>
      </c>
    </row>
    <row r="79" spans="1:17" s="52" customFormat="1" ht="220.8" x14ac:dyDescent="0.3">
      <c r="A79" s="218">
        <v>4</v>
      </c>
      <c r="B79" s="232" t="s">
        <v>11</v>
      </c>
      <c r="C79" s="243" t="s">
        <v>602</v>
      </c>
      <c r="D79" s="221" t="s">
        <v>18</v>
      </c>
      <c r="E79" s="235">
        <f>SUM(H79:N79)</f>
        <v>35</v>
      </c>
      <c r="F79" s="223">
        <v>0</v>
      </c>
      <c r="G79" s="223">
        <f t="shared" ref="G79" si="5">$E79*$F79</f>
        <v>0</v>
      </c>
      <c r="H79" s="81"/>
      <c r="I79" s="40"/>
      <c r="J79" s="41"/>
      <c r="K79" s="98"/>
      <c r="L79" s="43"/>
      <c r="N79" s="53">
        <v>35</v>
      </c>
      <c r="O79" s="52">
        <v>200</v>
      </c>
    </row>
    <row r="80" spans="1:17" x14ac:dyDescent="0.3">
      <c r="A80" s="231" t="s">
        <v>87</v>
      </c>
      <c r="B80" s="232"/>
      <c r="C80" s="240" t="s">
        <v>88</v>
      </c>
      <c r="D80" s="234"/>
      <c r="E80" s="235"/>
      <c r="F80" s="236"/>
      <c r="G80" s="236"/>
      <c r="H80" s="63"/>
      <c r="I80" s="60"/>
      <c r="J80" s="42"/>
      <c r="K80" s="98"/>
      <c r="L80" s="68"/>
      <c r="M80" s="70"/>
      <c r="N80" s="51"/>
      <c r="O80" s="52"/>
      <c r="P80" s="52"/>
      <c r="Q80" s="52"/>
    </row>
    <row r="81" spans="1:46" ht="179.4" x14ac:dyDescent="0.3">
      <c r="A81" s="237">
        <v>5</v>
      </c>
      <c r="B81" s="232" t="s">
        <v>8</v>
      </c>
      <c r="C81" s="238" t="s">
        <v>605</v>
      </c>
      <c r="D81" s="234" t="s">
        <v>25</v>
      </c>
      <c r="E81" s="235">
        <f>SUM(H81:N81)</f>
        <v>109.86000000000001</v>
      </c>
      <c r="F81" s="236">
        <v>0</v>
      </c>
      <c r="G81" s="236">
        <f>$E81*$F81</f>
        <v>0</v>
      </c>
      <c r="H81" s="63"/>
      <c r="I81" s="60"/>
      <c r="J81" s="42"/>
      <c r="K81" s="98"/>
      <c r="L81" s="68"/>
      <c r="M81" s="70"/>
      <c r="N81" s="51">
        <f>9.6+9+17.66+11.36+10.36+12.04+12.44+7.64+19.76</f>
        <v>109.86000000000001</v>
      </c>
      <c r="O81" s="52"/>
      <c r="P81" s="52">
        <f>110*1.3+25</f>
        <v>168</v>
      </c>
      <c r="Q81" s="52">
        <v>200</v>
      </c>
    </row>
    <row r="82" spans="1:46" ht="151.80000000000001" x14ac:dyDescent="0.3">
      <c r="A82" s="237">
        <v>5</v>
      </c>
      <c r="B82" s="232" t="s">
        <v>11</v>
      </c>
      <c r="C82" s="238" t="s">
        <v>468</v>
      </c>
      <c r="D82" s="234" t="s">
        <v>25</v>
      </c>
      <c r="E82" s="235">
        <f>SUM(H82:N82)</f>
        <v>44.769999999999996</v>
      </c>
      <c r="F82" s="236">
        <v>0</v>
      </c>
      <c r="G82" s="236">
        <f>$E82*$F82</f>
        <v>0</v>
      </c>
      <c r="H82" s="63"/>
      <c r="I82" s="60"/>
      <c r="J82" s="42"/>
      <c r="K82" s="98"/>
      <c r="L82" s="68"/>
      <c r="M82" s="70"/>
      <c r="N82" s="51">
        <f>4.8+4.5+8.61+5.18+5.68+6.02+9.98</f>
        <v>44.769999999999996</v>
      </c>
      <c r="O82" s="52">
        <f>170*1.3</f>
        <v>221</v>
      </c>
      <c r="P82" s="52"/>
      <c r="Q82" s="52">
        <v>200</v>
      </c>
    </row>
    <row r="83" spans="1:46" ht="124.2" x14ac:dyDescent="0.3">
      <c r="A83" s="237">
        <v>5</v>
      </c>
      <c r="B83" s="232" t="s">
        <v>13</v>
      </c>
      <c r="C83" s="241" t="s">
        <v>489</v>
      </c>
      <c r="D83" s="234" t="s">
        <v>25</v>
      </c>
      <c r="E83" s="235">
        <f>SUM(H83:N83)</f>
        <v>5.31</v>
      </c>
      <c r="F83" s="236">
        <v>0</v>
      </c>
      <c r="G83" s="236">
        <f>E83*F83</f>
        <v>0</v>
      </c>
      <c r="H83" s="63"/>
      <c r="I83" s="60"/>
      <c r="J83" s="42"/>
      <c r="K83" s="98"/>
      <c r="L83" s="68"/>
      <c r="M83" s="70"/>
      <c r="N83" s="51">
        <v>5.31</v>
      </c>
      <c r="O83" s="52"/>
      <c r="P83" s="52"/>
      <c r="Q83" s="52"/>
    </row>
    <row r="84" spans="1:46" ht="133.5" customHeight="1" x14ac:dyDescent="0.3">
      <c r="A84" s="237">
        <v>5</v>
      </c>
      <c r="B84" s="232" t="s">
        <v>26</v>
      </c>
      <c r="C84" s="241" t="s">
        <v>490</v>
      </c>
      <c r="D84" s="234" t="s">
        <v>18</v>
      </c>
      <c r="E84" s="235">
        <f>SUM(H84:N84)</f>
        <v>17.739999999999998</v>
      </c>
      <c r="F84" s="236">
        <v>0</v>
      </c>
      <c r="G84" s="236">
        <f>E84*F84</f>
        <v>0</v>
      </c>
      <c r="H84" s="63"/>
      <c r="I84" s="60"/>
      <c r="J84" s="42"/>
      <c r="K84" s="98"/>
      <c r="L84" s="68"/>
      <c r="M84" s="70"/>
      <c r="N84" s="51">
        <f>2.12+1.22+3.68+2.36+3.56+1.36+3.44</f>
        <v>17.739999999999998</v>
      </c>
      <c r="O84" s="52"/>
      <c r="P84" s="52"/>
      <c r="Q84" s="52"/>
    </row>
    <row r="85" spans="1:46" x14ac:dyDescent="0.3">
      <c r="A85" s="231" t="s">
        <v>94</v>
      </c>
      <c r="B85" s="232"/>
      <c r="C85" s="240" t="s">
        <v>118</v>
      </c>
      <c r="D85" s="234"/>
      <c r="E85" s="235"/>
      <c r="F85" s="236"/>
      <c r="G85" s="236"/>
      <c r="H85" s="63"/>
      <c r="I85" s="60"/>
      <c r="J85" s="42"/>
      <c r="K85" s="98"/>
      <c r="L85" s="68"/>
      <c r="M85" s="70"/>
      <c r="N85" s="51"/>
      <c r="O85" s="52"/>
      <c r="P85" s="52"/>
      <c r="Q85" s="52"/>
    </row>
    <row r="86" spans="1:46" s="52" customFormat="1" ht="110.25" customHeight="1" x14ac:dyDescent="0.3">
      <c r="A86" s="237">
        <v>6</v>
      </c>
      <c r="B86" s="232" t="s">
        <v>8</v>
      </c>
      <c r="C86" s="244" t="s">
        <v>122</v>
      </c>
      <c r="D86" s="234" t="s">
        <v>10</v>
      </c>
      <c r="E86" s="235">
        <f t="shared" ref="E86" si="6">SUM(H86:N86)</f>
        <v>2</v>
      </c>
      <c r="F86" s="236">
        <v>0</v>
      </c>
      <c r="G86" s="236">
        <f t="shared" ref="G86:G87" si="7">E86*F86</f>
        <v>0</v>
      </c>
      <c r="H86" s="81"/>
      <c r="I86" s="40"/>
      <c r="J86" s="41"/>
      <c r="K86" s="126"/>
      <c r="L86" s="68"/>
      <c r="N86" s="53">
        <v>2</v>
      </c>
    </row>
    <row r="87" spans="1:46" s="52" customFormat="1" ht="300" customHeight="1" x14ac:dyDescent="0.3">
      <c r="A87" s="245">
        <v>6</v>
      </c>
      <c r="B87" s="245" t="s">
        <v>11</v>
      </c>
      <c r="C87" s="246" t="s">
        <v>337</v>
      </c>
      <c r="D87" s="247" t="s">
        <v>29</v>
      </c>
      <c r="E87" s="248">
        <f>SUM(H87:N87)</f>
        <v>1</v>
      </c>
      <c r="F87" s="249">
        <v>0</v>
      </c>
      <c r="G87" s="249">
        <f t="shared" si="7"/>
        <v>0</v>
      </c>
      <c r="H87" s="81"/>
      <c r="I87" s="40"/>
      <c r="J87" s="41"/>
      <c r="K87" s="65"/>
      <c r="L87" s="43"/>
      <c r="M87" s="82"/>
      <c r="N87" s="114">
        <v>1</v>
      </c>
      <c r="O87" s="82"/>
      <c r="P87" s="115"/>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row>
    <row r="88" spans="1:46" s="52" customFormat="1" ht="245.25" customHeight="1" x14ac:dyDescent="0.3">
      <c r="A88" s="250"/>
      <c r="B88" s="250"/>
      <c r="C88" s="251" t="s">
        <v>622</v>
      </c>
      <c r="D88" s="252"/>
      <c r="E88" s="253"/>
      <c r="F88" s="254"/>
      <c r="G88" s="254"/>
      <c r="H88" s="81"/>
      <c r="I88" s="40"/>
      <c r="J88" s="41"/>
      <c r="K88" s="65"/>
      <c r="L88" s="43"/>
      <c r="M88" s="82"/>
      <c r="N88" s="114"/>
      <c r="O88" s="82"/>
      <c r="P88" s="115"/>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row>
    <row r="89" spans="1:46" s="52" customFormat="1" ht="234.75" customHeight="1" x14ac:dyDescent="0.3">
      <c r="A89" s="237">
        <v>6</v>
      </c>
      <c r="B89" s="232" t="s">
        <v>13</v>
      </c>
      <c r="C89" s="255" t="s">
        <v>625</v>
      </c>
      <c r="D89" s="234" t="s">
        <v>29</v>
      </c>
      <c r="E89" s="235">
        <f t="shared" ref="E89:E152" si="8">SUM(H89:N89)</f>
        <v>1</v>
      </c>
      <c r="F89" s="236">
        <v>0</v>
      </c>
      <c r="G89" s="236">
        <f t="shared" ref="G89:G119" si="9">E89*F89</f>
        <v>0</v>
      </c>
      <c r="H89" s="81"/>
      <c r="I89" s="40"/>
      <c r="J89" s="41"/>
      <c r="K89" s="65"/>
      <c r="L89" s="43"/>
      <c r="M89" s="82"/>
      <c r="N89" s="114">
        <v>1</v>
      </c>
      <c r="O89" s="82"/>
      <c r="P89" s="115"/>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row>
    <row r="90" spans="1:46" s="52" customFormat="1" ht="316.5" customHeight="1" x14ac:dyDescent="0.3">
      <c r="A90" s="237">
        <v>6</v>
      </c>
      <c r="B90" s="232" t="s">
        <v>26</v>
      </c>
      <c r="C90" s="244" t="s">
        <v>626</v>
      </c>
      <c r="D90" s="234" t="s">
        <v>29</v>
      </c>
      <c r="E90" s="235">
        <f t="shared" si="8"/>
        <v>1</v>
      </c>
      <c r="F90" s="236">
        <v>0</v>
      </c>
      <c r="G90" s="236">
        <f t="shared" si="9"/>
        <v>0</v>
      </c>
      <c r="H90" s="81"/>
      <c r="I90" s="40"/>
      <c r="J90" s="41"/>
      <c r="K90" s="65"/>
      <c r="L90" s="43"/>
      <c r="M90" s="82"/>
      <c r="N90" s="114">
        <v>1</v>
      </c>
      <c r="O90" s="82"/>
      <c r="P90" s="115"/>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row>
    <row r="91" spans="1:46" s="52" customFormat="1" ht="173.25" customHeight="1" x14ac:dyDescent="0.3">
      <c r="A91" s="256">
        <v>6</v>
      </c>
      <c r="B91" s="232" t="s">
        <v>28</v>
      </c>
      <c r="C91" s="244" t="s">
        <v>623</v>
      </c>
      <c r="D91" s="234" t="s">
        <v>29</v>
      </c>
      <c r="E91" s="235">
        <f t="shared" si="8"/>
        <v>1</v>
      </c>
      <c r="F91" s="236">
        <v>0</v>
      </c>
      <c r="G91" s="236">
        <f t="shared" si="9"/>
        <v>0</v>
      </c>
      <c r="H91" s="81"/>
      <c r="I91" s="40"/>
      <c r="J91" s="41"/>
      <c r="K91" s="65"/>
      <c r="L91" s="43"/>
      <c r="M91" s="82"/>
      <c r="N91" s="114">
        <v>1</v>
      </c>
      <c r="O91" s="82"/>
      <c r="P91" s="115"/>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row>
    <row r="92" spans="1:46" s="52" customFormat="1" ht="69" customHeight="1" x14ac:dyDescent="0.3">
      <c r="A92" s="257">
        <v>6</v>
      </c>
      <c r="B92" s="258" t="s">
        <v>30</v>
      </c>
      <c r="C92" s="259" t="s">
        <v>624</v>
      </c>
      <c r="D92" s="260" t="s">
        <v>29</v>
      </c>
      <c r="E92" s="261">
        <f t="shared" si="8"/>
        <v>2</v>
      </c>
      <c r="F92" s="262">
        <v>0</v>
      </c>
      <c r="G92" s="262">
        <f t="shared" si="9"/>
        <v>0</v>
      </c>
      <c r="H92" s="81"/>
      <c r="I92" s="40"/>
      <c r="J92" s="41"/>
      <c r="K92" s="65"/>
      <c r="L92" s="43"/>
      <c r="M92" s="82"/>
      <c r="N92" s="114">
        <v>2</v>
      </c>
      <c r="O92" s="82"/>
      <c r="P92" s="115"/>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row>
    <row r="93" spans="1:46" s="52" customFormat="1" ht="370.5" customHeight="1" x14ac:dyDescent="0.3">
      <c r="A93" s="256">
        <v>6</v>
      </c>
      <c r="B93" s="232" t="s">
        <v>31</v>
      </c>
      <c r="C93" s="244" t="s">
        <v>627</v>
      </c>
      <c r="D93" s="234" t="s">
        <v>29</v>
      </c>
      <c r="E93" s="235">
        <f t="shared" si="8"/>
        <v>96</v>
      </c>
      <c r="F93" s="236">
        <v>0</v>
      </c>
      <c r="G93" s="236">
        <f t="shared" si="9"/>
        <v>0</v>
      </c>
      <c r="H93" s="81"/>
      <c r="I93" s="40"/>
      <c r="J93" s="41"/>
      <c r="K93" s="65"/>
      <c r="L93" s="43"/>
      <c r="M93" s="82"/>
      <c r="N93" s="114">
        <v>96</v>
      </c>
      <c r="O93" s="82"/>
      <c r="P93" s="115"/>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row>
    <row r="94" spans="1:46" s="52" customFormat="1" ht="409.6" x14ac:dyDescent="0.3">
      <c r="A94" s="263">
        <v>6</v>
      </c>
      <c r="B94" s="264" t="s">
        <v>33</v>
      </c>
      <c r="C94" s="265" t="s">
        <v>628</v>
      </c>
      <c r="D94" s="252" t="s">
        <v>29</v>
      </c>
      <c r="E94" s="253">
        <f t="shared" si="8"/>
        <v>4</v>
      </c>
      <c r="F94" s="254">
        <v>0</v>
      </c>
      <c r="G94" s="254">
        <f t="shared" si="9"/>
        <v>0</v>
      </c>
      <c r="H94" s="81"/>
      <c r="I94" s="40"/>
      <c r="J94" s="41"/>
      <c r="K94" s="65"/>
      <c r="L94" s="43"/>
      <c r="M94" s="82"/>
      <c r="N94" s="114">
        <v>4</v>
      </c>
      <c r="O94" s="82"/>
      <c r="P94" s="115"/>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row>
    <row r="95" spans="1:46" s="52" customFormat="1" ht="89.25" customHeight="1" x14ac:dyDescent="0.3">
      <c r="A95" s="237">
        <v>6</v>
      </c>
      <c r="B95" s="232" t="s">
        <v>35</v>
      </c>
      <c r="C95" s="244" t="s">
        <v>629</v>
      </c>
      <c r="D95" s="234" t="s">
        <v>29</v>
      </c>
      <c r="E95" s="235">
        <f t="shared" si="8"/>
        <v>100</v>
      </c>
      <c r="F95" s="236">
        <v>0</v>
      </c>
      <c r="G95" s="236">
        <f t="shared" si="9"/>
        <v>0</v>
      </c>
      <c r="H95" s="81"/>
      <c r="I95" s="40"/>
      <c r="J95" s="41"/>
      <c r="K95" s="65"/>
      <c r="L95" s="43"/>
      <c r="M95" s="82"/>
      <c r="N95" s="114">
        <v>100</v>
      </c>
      <c r="O95" s="82"/>
      <c r="P95" s="115"/>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row>
    <row r="96" spans="1:46" s="52" customFormat="1" ht="72.75" customHeight="1" x14ac:dyDescent="0.3">
      <c r="A96" s="237">
        <v>6</v>
      </c>
      <c r="B96" s="232" t="s">
        <v>38</v>
      </c>
      <c r="C96" s="244" t="s">
        <v>630</v>
      </c>
      <c r="D96" s="234" t="s">
        <v>29</v>
      </c>
      <c r="E96" s="235">
        <f t="shared" si="8"/>
        <v>96</v>
      </c>
      <c r="F96" s="236">
        <v>0</v>
      </c>
      <c r="G96" s="236">
        <f t="shared" si="9"/>
        <v>0</v>
      </c>
      <c r="H96" s="81"/>
      <c r="I96" s="40"/>
      <c r="J96" s="41"/>
      <c r="K96" s="65"/>
      <c r="L96" s="43"/>
      <c r="M96" s="82"/>
      <c r="N96" s="114">
        <v>96</v>
      </c>
      <c r="O96" s="82"/>
      <c r="P96" s="115"/>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row>
    <row r="97" spans="1:46" s="52" customFormat="1" ht="289.5" customHeight="1" x14ac:dyDescent="0.3">
      <c r="A97" s="237">
        <v>6</v>
      </c>
      <c r="B97" s="232" t="s">
        <v>40</v>
      </c>
      <c r="C97" s="244" t="s">
        <v>631</v>
      </c>
      <c r="D97" s="234" t="s">
        <v>29</v>
      </c>
      <c r="E97" s="235">
        <f t="shared" si="8"/>
        <v>15</v>
      </c>
      <c r="F97" s="236">
        <v>0</v>
      </c>
      <c r="G97" s="236">
        <f t="shared" si="9"/>
        <v>0</v>
      </c>
      <c r="H97" s="81"/>
      <c r="I97" s="40"/>
      <c r="J97" s="41"/>
      <c r="K97" s="65"/>
      <c r="L97" s="43"/>
      <c r="M97" s="82"/>
      <c r="N97" s="114">
        <v>15</v>
      </c>
      <c r="O97" s="82"/>
      <c r="P97" s="115"/>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row>
    <row r="98" spans="1:46" s="52" customFormat="1" ht="234.6" x14ac:dyDescent="0.3">
      <c r="A98" s="237">
        <v>6</v>
      </c>
      <c r="B98" s="232" t="s">
        <v>42</v>
      </c>
      <c r="C98" s="244" t="s">
        <v>632</v>
      </c>
      <c r="D98" s="234" t="s">
        <v>29</v>
      </c>
      <c r="E98" s="235">
        <f t="shared" si="8"/>
        <v>3</v>
      </c>
      <c r="F98" s="236">
        <v>0</v>
      </c>
      <c r="G98" s="236">
        <f t="shared" si="9"/>
        <v>0</v>
      </c>
      <c r="H98" s="81"/>
      <c r="I98" s="40"/>
      <c r="J98" s="41"/>
      <c r="K98" s="65"/>
      <c r="L98" s="43"/>
      <c r="M98" s="82"/>
      <c r="N98" s="114">
        <v>3</v>
      </c>
      <c r="O98" s="82"/>
      <c r="P98" s="115"/>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row>
    <row r="99" spans="1:46" s="52" customFormat="1" ht="262.2" x14ac:dyDescent="0.3">
      <c r="A99" s="237">
        <v>6</v>
      </c>
      <c r="B99" s="232" t="s">
        <v>44</v>
      </c>
      <c r="C99" s="244" t="s">
        <v>633</v>
      </c>
      <c r="D99" s="234" t="s">
        <v>29</v>
      </c>
      <c r="E99" s="235">
        <f t="shared" si="8"/>
        <v>3</v>
      </c>
      <c r="F99" s="236">
        <v>0</v>
      </c>
      <c r="G99" s="236">
        <f t="shared" si="9"/>
        <v>0</v>
      </c>
      <c r="H99" s="81"/>
      <c r="I99" s="40"/>
      <c r="J99" s="41"/>
      <c r="K99" s="65"/>
      <c r="L99" s="43"/>
      <c r="M99" s="82"/>
      <c r="N99" s="114">
        <v>3</v>
      </c>
      <c r="O99" s="82"/>
      <c r="P99" s="115"/>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row>
    <row r="100" spans="1:46" s="52" customFormat="1" ht="69" x14ac:dyDescent="0.3">
      <c r="A100" s="237">
        <v>6</v>
      </c>
      <c r="B100" s="232" t="s">
        <v>46</v>
      </c>
      <c r="C100" s="244" t="s">
        <v>634</v>
      </c>
      <c r="D100" s="234" t="s">
        <v>29</v>
      </c>
      <c r="E100" s="235">
        <f t="shared" si="8"/>
        <v>6</v>
      </c>
      <c r="F100" s="236">
        <v>0</v>
      </c>
      <c r="G100" s="236">
        <f t="shared" si="9"/>
        <v>0</v>
      </c>
      <c r="H100" s="81"/>
      <c r="I100" s="40"/>
      <c r="J100" s="41"/>
      <c r="K100" s="65"/>
      <c r="L100" s="43"/>
      <c r="M100" s="82"/>
      <c r="N100" s="114">
        <v>6</v>
      </c>
      <c r="O100" s="82"/>
      <c r="P100" s="115"/>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row>
    <row r="101" spans="1:46" s="52" customFormat="1" ht="322.5" customHeight="1" x14ac:dyDescent="0.3">
      <c r="A101" s="237">
        <v>6</v>
      </c>
      <c r="B101" s="232" t="s">
        <v>48</v>
      </c>
      <c r="C101" s="244" t="s">
        <v>635</v>
      </c>
      <c r="D101" s="234" t="s">
        <v>29</v>
      </c>
      <c r="E101" s="235">
        <f t="shared" si="8"/>
        <v>14</v>
      </c>
      <c r="F101" s="236">
        <v>0</v>
      </c>
      <c r="G101" s="236">
        <f t="shared" si="9"/>
        <v>0</v>
      </c>
      <c r="H101" s="81"/>
      <c r="I101" s="40"/>
      <c r="J101" s="41"/>
      <c r="K101" s="65"/>
      <c r="L101" s="43"/>
      <c r="M101" s="82"/>
      <c r="N101" s="114">
        <v>14</v>
      </c>
      <c r="O101" s="82"/>
      <c r="P101" s="115"/>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row>
    <row r="102" spans="1:46" s="52" customFormat="1" ht="404.25" customHeight="1" x14ac:dyDescent="0.3">
      <c r="A102" s="237">
        <v>6</v>
      </c>
      <c r="B102" s="232" t="s">
        <v>50</v>
      </c>
      <c r="C102" s="244" t="s">
        <v>636</v>
      </c>
      <c r="D102" s="234" t="s">
        <v>10</v>
      </c>
      <c r="E102" s="235">
        <f t="shared" si="8"/>
        <v>3</v>
      </c>
      <c r="F102" s="236">
        <v>0</v>
      </c>
      <c r="G102" s="236">
        <f t="shared" si="9"/>
        <v>0</v>
      </c>
      <c r="H102" s="81"/>
      <c r="I102" s="40"/>
      <c r="J102" s="41"/>
      <c r="K102" s="65"/>
      <c r="L102" s="43"/>
      <c r="M102" s="82"/>
      <c r="N102" s="114">
        <v>3</v>
      </c>
      <c r="O102" s="82"/>
      <c r="P102" s="115"/>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row>
    <row r="103" spans="1:46" s="52" customFormat="1" ht="309.75" customHeight="1" x14ac:dyDescent="0.3">
      <c r="A103" s="237">
        <v>6</v>
      </c>
      <c r="B103" s="232" t="s">
        <v>51</v>
      </c>
      <c r="C103" s="244" t="s">
        <v>444</v>
      </c>
      <c r="D103" s="266"/>
      <c r="E103" s="266"/>
      <c r="F103" s="266"/>
      <c r="G103" s="266"/>
      <c r="H103" s="81"/>
      <c r="I103" s="40"/>
      <c r="J103" s="41"/>
      <c r="K103" s="65"/>
      <c r="L103" s="43"/>
      <c r="M103" s="82"/>
      <c r="N103" s="157">
        <v>1</v>
      </c>
      <c r="O103" s="82"/>
      <c r="P103" s="115"/>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row>
    <row r="104" spans="1:46" s="52" customFormat="1" ht="270" customHeight="1" x14ac:dyDescent="0.3">
      <c r="A104" s="267">
        <v>6</v>
      </c>
      <c r="B104" s="268" t="s">
        <v>51</v>
      </c>
      <c r="C104" s="269" t="s">
        <v>445</v>
      </c>
      <c r="D104" s="247" t="s">
        <v>29</v>
      </c>
      <c r="E104" s="248">
        <f>SUM(H103:N103)</f>
        <v>1</v>
      </c>
      <c r="F104" s="249">
        <v>0</v>
      </c>
      <c r="G104" s="249">
        <f>E104*F104</f>
        <v>0</v>
      </c>
      <c r="H104" s="81"/>
      <c r="I104" s="40"/>
      <c r="J104" s="41"/>
      <c r="K104" s="65"/>
      <c r="L104" s="43"/>
      <c r="M104" s="82"/>
      <c r="N104" s="157"/>
      <c r="O104" s="82"/>
      <c r="P104" s="115"/>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row>
    <row r="105" spans="1:46" s="52" customFormat="1" ht="193.2" x14ac:dyDescent="0.3">
      <c r="A105" s="270"/>
      <c r="B105" s="271"/>
      <c r="C105" s="251" t="s">
        <v>637</v>
      </c>
      <c r="D105" s="272"/>
      <c r="E105" s="273"/>
      <c r="F105" s="274"/>
      <c r="G105" s="274"/>
      <c r="H105" s="81"/>
      <c r="I105" s="40"/>
      <c r="J105" s="41"/>
      <c r="K105" s="65"/>
      <c r="L105" s="43"/>
      <c r="M105" s="82"/>
      <c r="N105" s="114"/>
      <c r="O105" s="82"/>
      <c r="P105" s="115"/>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row>
    <row r="106" spans="1:46" s="52" customFormat="1" ht="69" x14ac:dyDescent="0.3">
      <c r="A106" s="237">
        <v>6</v>
      </c>
      <c r="B106" s="232" t="s">
        <v>53</v>
      </c>
      <c r="C106" s="244" t="s">
        <v>638</v>
      </c>
      <c r="D106" s="234" t="s">
        <v>29</v>
      </c>
      <c r="E106" s="235">
        <f t="shared" si="8"/>
        <v>1</v>
      </c>
      <c r="F106" s="236">
        <v>0</v>
      </c>
      <c r="G106" s="236">
        <f t="shared" si="9"/>
        <v>0</v>
      </c>
      <c r="H106" s="81"/>
      <c r="I106" s="40"/>
      <c r="J106" s="41"/>
      <c r="K106" s="65"/>
      <c r="L106" s="43"/>
      <c r="M106" s="82"/>
      <c r="N106" s="114">
        <v>1</v>
      </c>
      <c r="O106" s="82"/>
      <c r="P106" s="115"/>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row>
    <row r="107" spans="1:46" s="52" customFormat="1" ht="38.25" customHeight="1" x14ac:dyDescent="0.3">
      <c r="A107" s="237">
        <v>6</v>
      </c>
      <c r="B107" s="232" t="s">
        <v>55</v>
      </c>
      <c r="C107" s="244" t="s">
        <v>340</v>
      </c>
      <c r="D107" s="234" t="s">
        <v>29</v>
      </c>
      <c r="E107" s="235">
        <f t="shared" si="8"/>
        <v>138</v>
      </c>
      <c r="F107" s="236">
        <v>0</v>
      </c>
      <c r="G107" s="236">
        <f t="shared" si="9"/>
        <v>0</v>
      </c>
      <c r="H107" s="81"/>
      <c r="I107" s="40"/>
      <c r="J107" s="41"/>
      <c r="K107" s="65"/>
      <c r="L107" s="43"/>
      <c r="M107" s="82"/>
      <c r="N107" s="114">
        <v>138</v>
      </c>
      <c r="O107" s="82"/>
      <c r="P107" s="115"/>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row>
    <row r="108" spans="1:46" s="52" customFormat="1" ht="143.25" customHeight="1" x14ac:dyDescent="0.3">
      <c r="A108" s="237">
        <v>6</v>
      </c>
      <c r="B108" s="232" t="s">
        <v>57</v>
      </c>
      <c r="C108" s="244" t="s">
        <v>356</v>
      </c>
      <c r="D108" s="234" t="s">
        <v>29</v>
      </c>
      <c r="E108" s="235">
        <f t="shared" si="8"/>
        <v>1</v>
      </c>
      <c r="F108" s="236">
        <v>0</v>
      </c>
      <c r="G108" s="236">
        <f t="shared" si="9"/>
        <v>0</v>
      </c>
      <c r="H108" s="81"/>
      <c r="I108" s="40"/>
      <c r="J108" s="41"/>
      <c r="K108" s="65"/>
      <c r="L108" s="43"/>
      <c r="M108" s="82"/>
      <c r="N108" s="114">
        <v>1</v>
      </c>
      <c r="O108" s="82"/>
      <c r="P108" s="115"/>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row>
    <row r="109" spans="1:46" s="52" customFormat="1" ht="21.75" customHeight="1" x14ac:dyDescent="0.3">
      <c r="A109" s="237">
        <v>6</v>
      </c>
      <c r="B109" s="232" t="s">
        <v>58</v>
      </c>
      <c r="C109" s="244" t="s">
        <v>357</v>
      </c>
      <c r="D109" s="234" t="s">
        <v>29</v>
      </c>
      <c r="E109" s="235">
        <f t="shared" si="8"/>
        <v>1</v>
      </c>
      <c r="F109" s="236">
        <v>0</v>
      </c>
      <c r="G109" s="236">
        <f t="shared" si="9"/>
        <v>0</v>
      </c>
      <c r="H109" s="81"/>
      <c r="I109" s="40"/>
      <c r="J109" s="41"/>
      <c r="K109" s="65"/>
      <c r="L109" s="43"/>
      <c r="M109" s="82"/>
      <c r="N109" s="114">
        <v>1</v>
      </c>
      <c r="O109" s="82"/>
      <c r="P109" s="115"/>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row>
    <row r="110" spans="1:46" s="52" customFormat="1" ht="35.25" customHeight="1" x14ac:dyDescent="0.3">
      <c r="A110" s="237">
        <v>6</v>
      </c>
      <c r="B110" s="232" t="s">
        <v>60</v>
      </c>
      <c r="C110" s="244" t="s">
        <v>358</v>
      </c>
      <c r="D110" s="234" t="s">
        <v>29</v>
      </c>
      <c r="E110" s="235">
        <f t="shared" si="8"/>
        <v>100</v>
      </c>
      <c r="F110" s="236">
        <v>0</v>
      </c>
      <c r="G110" s="236">
        <f t="shared" si="9"/>
        <v>0</v>
      </c>
      <c r="H110" s="81"/>
      <c r="I110" s="40"/>
      <c r="J110" s="41"/>
      <c r="K110" s="65"/>
      <c r="L110" s="43"/>
      <c r="M110" s="82"/>
      <c r="N110" s="114">
        <v>100</v>
      </c>
      <c r="O110" s="82"/>
      <c r="P110" s="115"/>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row>
    <row r="111" spans="1:46" s="52" customFormat="1" ht="37.5" customHeight="1" x14ac:dyDescent="0.3">
      <c r="A111" s="237">
        <v>6</v>
      </c>
      <c r="B111" s="232" t="s">
        <v>77</v>
      </c>
      <c r="C111" s="244" t="s">
        <v>360</v>
      </c>
      <c r="D111" s="234" t="s">
        <v>29</v>
      </c>
      <c r="E111" s="235">
        <f t="shared" si="8"/>
        <v>100</v>
      </c>
      <c r="F111" s="236">
        <v>0</v>
      </c>
      <c r="G111" s="236">
        <f t="shared" si="9"/>
        <v>0</v>
      </c>
      <c r="H111" s="81"/>
      <c r="I111" s="40"/>
      <c r="J111" s="41"/>
      <c r="K111" s="65"/>
      <c r="L111" s="43"/>
      <c r="M111" s="82"/>
      <c r="N111" s="114">
        <v>100</v>
      </c>
      <c r="O111" s="82"/>
      <c r="P111" s="115"/>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row>
    <row r="112" spans="1:46" s="52" customFormat="1" ht="21.75" customHeight="1" x14ac:dyDescent="0.3">
      <c r="A112" s="237">
        <v>6</v>
      </c>
      <c r="B112" s="232" t="s">
        <v>78</v>
      </c>
      <c r="C112" s="244" t="s">
        <v>361</v>
      </c>
      <c r="D112" s="234" t="s">
        <v>29</v>
      </c>
      <c r="E112" s="235">
        <f t="shared" si="8"/>
        <v>100</v>
      </c>
      <c r="F112" s="236">
        <v>0</v>
      </c>
      <c r="G112" s="236">
        <f t="shared" si="9"/>
        <v>0</v>
      </c>
      <c r="H112" s="81"/>
      <c r="I112" s="40"/>
      <c r="J112" s="41"/>
      <c r="K112" s="65"/>
      <c r="L112" s="43"/>
      <c r="M112" s="82"/>
      <c r="N112" s="114">
        <v>100</v>
      </c>
      <c r="O112" s="82"/>
      <c r="P112" s="115"/>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row>
    <row r="113" spans="1:46" s="52" customFormat="1" ht="31.5" customHeight="1" x14ac:dyDescent="0.3">
      <c r="A113" s="237">
        <v>6</v>
      </c>
      <c r="B113" s="232" t="s">
        <v>79</v>
      </c>
      <c r="C113" s="244" t="s">
        <v>362</v>
      </c>
      <c r="D113" s="234" t="s">
        <v>29</v>
      </c>
      <c r="E113" s="235">
        <f t="shared" si="8"/>
        <v>15</v>
      </c>
      <c r="F113" s="236">
        <v>0</v>
      </c>
      <c r="G113" s="236">
        <f t="shared" si="9"/>
        <v>0</v>
      </c>
      <c r="H113" s="81"/>
      <c r="I113" s="40"/>
      <c r="J113" s="41"/>
      <c r="K113" s="65"/>
      <c r="L113" s="43"/>
      <c r="M113" s="82"/>
      <c r="N113" s="114">
        <v>15</v>
      </c>
      <c r="O113" s="82"/>
      <c r="P113" s="115"/>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row>
    <row r="114" spans="1:46" s="52" customFormat="1" ht="32.25" customHeight="1" x14ac:dyDescent="0.3">
      <c r="A114" s="237">
        <v>6</v>
      </c>
      <c r="B114" s="232" t="s">
        <v>81</v>
      </c>
      <c r="C114" s="244" t="s">
        <v>363</v>
      </c>
      <c r="D114" s="234" t="s">
        <v>29</v>
      </c>
      <c r="E114" s="235">
        <f t="shared" si="8"/>
        <v>17</v>
      </c>
      <c r="F114" s="236">
        <v>0</v>
      </c>
      <c r="G114" s="236">
        <f t="shared" si="9"/>
        <v>0</v>
      </c>
      <c r="H114" s="81"/>
      <c r="I114" s="40"/>
      <c r="J114" s="41"/>
      <c r="K114" s="65"/>
      <c r="L114" s="43"/>
      <c r="M114" s="82"/>
      <c r="N114" s="114">
        <v>17</v>
      </c>
      <c r="O114" s="82"/>
      <c r="P114" s="115"/>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row>
    <row r="115" spans="1:46" s="52" customFormat="1" ht="24" customHeight="1" x14ac:dyDescent="0.3">
      <c r="A115" s="237">
        <v>6</v>
      </c>
      <c r="B115" s="232" t="s">
        <v>218</v>
      </c>
      <c r="C115" s="244" t="s">
        <v>364</v>
      </c>
      <c r="D115" s="234" t="s">
        <v>29</v>
      </c>
      <c r="E115" s="235">
        <f t="shared" si="8"/>
        <v>6</v>
      </c>
      <c r="F115" s="236">
        <v>0</v>
      </c>
      <c r="G115" s="236">
        <f t="shared" si="9"/>
        <v>0</v>
      </c>
      <c r="H115" s="81"/>
      <c r="I115" s="40"/>
      <c r="J115" s="41"/>
      <c r="K115" s="65"/>
      <c r="L115" s="43"/>
      <c r="M115" s="82"/>
      <c r="N115" s="114">
        <v>6</v>
      </c>
      <c r="O115" s="82"/>
      <c r="P115" s="115"/>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row>
    <row r="116" spans="1:46" s="52" customFormat="1" ht="60" customHeight="1" x14ac:dyDescent="0.3">
      <c r="A116" s="237">
        <v>6</v>
      </c>
      <c r="B116" s="232" t="s">
        <v>216</v>
      </c>
      <c r="C116" s="244" t="s">
        <v>365</v>
      </c>
      <c r="D116" s="234" t="s">
        <v>29</v>
      </c>
      <c r="E116" s="235">
        <f t="shared" si="8"/>
        <v>1</v>
      </c>
      <c r="F116" s="236">
        <v>0</v>
      </c>
      <c r="G116" s="236">
        <f t="shared" si="9"/>
        <v>0</v>
      </c>
      <c r="H116" s="81"/>
      <c r="I116" s="40"/>
      <c r="J116" s="41"/>
      <c r="K116" s="65"/>
      <c r="L116" s="43"/>
      <c r="M116" s="82"/>
      <c r="N116" s="114">
        <v>1</v>
      </c>
      <c r="O116" s="82"/>
      <c r="P116" s="115"/>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row>
    <row r="117" spans="1:46" s="52" customFormat="1" ht="57" customHeight="1" x14ac:dyDescent="0.3">
      <c r="A117" s="237">
        <v>6</v>
      </c>
      <c r="B117" s="232" t="s">
        <v>214</v>
      </c>
      <c r="C117" s="244" t="s">
        <v>366</v>
      </c>
      <c r="D117" s="234" t="s">
        <v>10</v>
      </c>
      <c r="E117" s="235">
        <f t="shared" si="8"/>
        <v>1</v>
      </c>
      <c r="F117" s="236">
        <v>0</v>
      </c>
      <c r="G117" s="236">
        <f t="shared" si="9"/>
        <v>0</v>
      </c>
      <c r="H117" s="81"/>
      <c r="I117" s="40"/>
      <c r="J117" s="41"/>
      <c r="K117" s="65"/>
      <c r="L117" s="43"/>
      <c r="M117" s="82"/>
      <c r="N117" s="114">
        <v>1</v>
      </c>
      <c r="O117" s="82"/>
      <c r="P117" s="115"/>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row>
    <row r="118" spans="1:46" s="52" customFormat="1" ht="46.5" customHeight="1" x14ac:dyDescent="0.3">
      <c r="A118" s="237">
        <v>6</v>
      </c>
      <c r="B118" s="232" t="s">
        <v>212</v>
      </c>
      <c r="C118" s="244" t="s">
        <v>367</v>
      </c>
      <c r="D118" s="234" t="s">
        <v>29</v>
      </c>
      <c r="E118" s="235">
        <f t="shared" si="8"/>
        <v>138</v>
      </c>
      <c r="F118" s="236">
        <v>0</v>
      </c>
      <c r="G118" s="236">
        <f t="shared" si="9"/>
        <v>0</v>
      </c>
      <c r="H118" s="81"/>
      <c r="I118" s="40"/>
      <c r="J118" s="41"/>
      <c r="K118" s="65"/>
      <c r="L118" s="43"/>
      <c r="M118" s="82"/>
      <c r="N118" s="114">
        <v>138</v>
      </c>
      <c r="O118" s="82"/>
      <c r="P118" s="115"/>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row>
    <row r="119" spans="1:46" s="52" customFormat="1" ht="48" customHeight="1" x14ac:dyDescent="0.3">
      <c r="A119" s="237">
        <v>6</v>
      </c>
      <c r="B119" s="232" t="s">
        <v>210</v>
      </c>
      <c r="C119" s="244" t="s">
        <v>368</v>
      </c>
      <c r="D119" s="234" t="s">
        <v>29</v>
      </c>
      <c r="E119" s="235">
        <f t="shared" si="8"/>
        <v>138</v>
      </c>
      <c r="F119" s="236">
        <v>0</v>
      </c>
      <c r="G119" s="236">
        <f t="shared" si="9"/>
        <v>0</v>
      </c>
      <c r="H119" s="81"/>
      <c r="I119" s="40"/>
      <c r="J119" s="41"/>
      <c r="K119" s="65"/>
      <c r="L119" s="43"/>
      <c r="M119" s="82"/>
      <c r="N119" s="114">
        <v>138</v>
      </c>
      <c r="O119" s="82"/>
      <c r="P119" s="115"/>
      <c r="Q119" s="82"/>
      <c r="R119" s="82"/>
      <c r="S119" s="82"/>
      <c r="T119" s="82"/>
      <c r="U119" s="82"/>
      <c r="V119" s="116"/>
      <c r="W119" s="116"/>
      <c r="X119" s="116"/>
      <c r="Y119" s="116"/>
      <c r="Z119" s="116"/>
      <c r="AA119" s="116"/>
      <c r="AB119" s="116"/>
      <c r="AC119" s="116"/>
      <c r="AD119" s="116"/>
      <c r="AE119" s="82"/>
      <c r="AF119" s="82"/>
      <c r="AG119" s="82"/>
      <c r="AH119" s="82"/>
      <c r="AI119" s="82"/>
      <c r="AJ119" s="82"/>
      <c r="AK119" s="82"/>
      <c r="AL119" s="82"/>
      <c r="AM119" s="82"/>
      <c r="AN119" s="82"/>
      <c r="AO119" s="82"/>
      <c r="AP119" s="82"/>
      <c r="AQ119" s="82"/>
      <c r="AR119" s="82"/>
      <c r="AS119" s="82"/>
      <c r="AT119" s="82"/>
    </row>
    <row r="120" spans="1:46" s="109" customFormat="1" ht="75" customHeight="1" x14ac:dyDescent="0.3">
      <c r="A120" s="237">
        <v>6</v>
      </c>
      <c r="B120" s="232" t="s">
        <v>208</v>
      </c>
      <c r="C120" s="241" t="s">
        <v>369</v>
      </c>
      <c r="D120" s="275" t="s">
        <v>29</v>
      </c>
      <c r="E120" s="235">
        <f t="shared" si="8"/>
        <v>10</v>
      </c>
      <c r="F120" s="276">
        <v>0</v>
      </c>
      <c r="G120" s="276">
        <f>E120*F120</f>
        <v>0</v>
      </c>
      <c r="I120" s="110"/>
      <c r="J120" s="110"/>
      <c r="K120" s="65"/>
      <c r="L120" s="110"/>
      <c r="M120" s="117"/>
      <c r="N120" s="114">
        <v>10</v>
      </c>
      <c r="O120" s="117"/>
      <c r="P120" s="118"/>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row>
    <row r="121" spans="1:46" s="109" customFormat="1" ht="61.5" customHeight="1" x14ac:dyDescent="0.3">
      <c r="A121" s="237">
        <v>6</v>
      </c>
      <c r="B121" s="232" t="s">
        <v>206</v>
      </c>
      <c r="C121" s="241" t="s">
        <v>370</v>
      </c>
      <c r="D121" s="275" t="s">
        <v>29</v>
      </c>
      <c r="E121" s="235">
        <f t="shared" si="8"/>
        <v>1</v>
      </c>
      <c r="F121" s="276">
        <v>0</v>
      </c>
      <c r="G121" s="276">
        <f>E121*F121</f>
        <v>0</v>
      </c>
      <c r="I121" s="110"/>
      <c r="J121" s="110"/>
      <c r="K121" s="65"/>
      <c r="L121" s="110"/>
      <c r="M121" s="117"/>
      <c r="N121" s="114">
        <v>1</v>
      </c>
      <c r="O121" s="117"/>
      <c r="P121" s="118"/>
      <c r="Q121" s="117"/>
      <c r="R121" s="117"/>
      <c r="S121" s="117"/>
      <c r="T121" s="117"/>
      <c r="U121" s="117"/>
      <c r="V121" s="117"/>
      <c r="W121" s="117"/>
      <c r="X121" s="117"/>
      <c r="Y121" s="117"/>
      <c r="Z121" s="117"/>
      <c r="AA121" s="117"/>
      <c r="AB121" s="117"/>
      <c r="AC121" s="117"/>
      <c r="AD121" s="117"/>
      <c r="AE121" s="117"/>
      <c r="AF121" s="117"/>
      <c r="AG121" s="117"/>
      <c r="AH121" s="117"/>
      <c r="AI121" s="117"/>
      <c r="AJ121" s="117"/>
      <c r="AK121" s="117"/>
      <c r="AL121" s="117"/>
      <c r="AM121" s="117"/>
      <c r="AN121" s="117"/>
      <c r="AO121" s="117"/>
      <c r="AP121" s="117"/>
      <c r="AQ121" s="117"/>
      <c r="AR121" s="117"/>
      <c r="AS121" s="117"/>
      <c r="AT121" s="117"/>
    </row>
    <row r="122" spans="1:46" s="109" customFormat="1" ht="69" x14ac:dyDescent="0.3">
      <c r="A122" s="237">
        <v>6</v>
      </c>
      <c r="B122" s="232" t="s">
        <v>205</v>
      </c>
      <c r="C122" s="241" t="s">
        <v>371</v>
      </c>
      <c r="D122" s="275" t="s">
        <v>10</v>
      </c>
      <c r="E122" s="235">
        <f t="shared" si="8"/>
        <v>1</v>
      </c>
      <c r="F122" s="276">
        <v>0</v>
      </c>
      <c r="G122" s="276">
        <f>E122*F122</f>
        <v>0</v>
      </c>
      <c r="I122" s="110"/>
      <c r="J122" s="110"/>
      <c r="K122" s="65"/>
      <c r="L122" s="110"/>
      <c r="M122" s="117"/>
      <c r="N122" s="114">
        <v>1</v>
      </c>
      <c r="O122" s="117"/>
      <c r="P122" s="118"/>
      <c r="Q122" s="117"/>
      <c r="R122" s="117"/>
      <c r="S122" s="117"/>
      <c r="T122" s="117"/>
      <c r="U122" s="117"/>
      <c r="V122" s="117"/>
      <c r="W122" s="117"/>
      <c r="X122" s="117"/>
      <c r="Y122" s="117"/>
      <c r="Z122" s="117"/>
      <c r="AA122" s="117"/>
      <c r="AB122" s="117"/>
      <c r="AC122" s="117"/>
      <c r="AD122" s="117"/>
      <c r="AE122" s="117"/>
      <c r="AF122" s="117"/>
      <c r="AG122" s="117"/>
      <c r="AH122" s="117"/>
      <c r="AI122" s="117"/>
      <c r="AJ122" s="117"/>
      <c r="AK122" s="117"/>
      <c r="AL122" s="117"/>
      <c r="AM122" s="117"/>
      <c r="AN122" s="117"/>
      <c r="AO122" s="117"/>
      <c r="AP122" s="117"/>
      <c r="AQ122" s="117"/>
      <c r="AR122" s="117"/>
      <c r="AS122" s="117"/>
      <c r="AT122" s="117"/>
    </row>
    <row r="123" spans="1:46" s="109" customFormat="1" ht="57.75" customHeight="1" x14ac:dyDescent="0.3">
      <c r="A123" s="237">
        <v>6</v>
      </c>
      <c r="B123" s="232" t="s">
        <v>203</v>
      </c>
      <c r="C123" s="241" t="s">
        <v>372</v>
      </c>
      <c r="D123" s="275" t="s">
        <v>10</v>
      </c>
      <c r="E123" s="235">
        <f t="shared" si="8"/>
        <v>1</v>
      </c>
      <c r="F123" s="276">
        <v>0</v>
      </c>
      <c r="G123" s="276">
        <f>E123*F123</f>
        <v>0</v>
      </c>
      <c r="I123" s="110"/>
      <c r="J123" s="110"/>
      <c r="K123" s="65"/>
      <c r="L123" s="110"/>
      <c r="M123" s="117"/>
      <c r="N123" s="114">
        <v>1</v>
      </c>
      <c r="O123" s="117"/>
      <c r="P123" s="118"/>
      <c r="Q123" s="117"/>
      <c r="R123" s="117"/>
      <c r="S123" s="117"/>
      <c r="T123" s="117"/>
      <c r="U123" s="117"/>
      <c r="V123" s="117"/>
      <c r="W123" s="117"/>
      <c r="X123" s="117"/>
      <c r="Y123" s="117"/>
      <c r="Z123" s="117"/>
      <c r="AA123" s="117"/>
      <c r="AB123" s="117"/>
      <c r="AC123" s="117"/>
      <c r="AD123" s="117"/>
      <c r="AE123" s="117"/>
      <c r="AF123" s="117"/>
      <c r="AG123" s="117"/>
      <c r="AH123" s="117"/>
      <c r="AI123" s="117"/>
      <c r="AJ123" s="117"/>
      <c r="AK123" s="117"/>
      <c r="AL123" s="117"/>
      <c r="AM123" s="117"/>
      <c r="AN123" s="117"/>
      <c r="AO123" s="117"/>
      <c r="AP123" s="117"/>
      <c r="AQ123" s="117"/>
      <c r="AR123" s="117"/>
      <c r="AS123" s="117"/>
      <c r="AT123" s="117"/>
    </row>
    <row r="124" spans="1:46" s="109" customFormat="1" ht="33.75" customHeight="1" x14ac:dyDescent="0.3">
      <c r="A124" s="237">
        <v>6</v>
      </c>
      <c r="B124" s="232" t="s">
        <v>200</v>
      </c>
      <c r="C124" s="241" t="s">
        <v>472</v>
      </c>
      <c r="D124" s="275" t="s">
        <v>374</v>
      </c>
      <c r="E124" s="235">
        <f t="shared" si="8"/>
        <v>50</v>
      </c>
      <c r="F124" s="276">
        <v>0</v>
      </c>
      <c r="G124" s="276">
        <f>E124*F124</f>
        <v>0</v>
      </c>
      <c r="I124" s="110"/>
      <c r="J124" s="110"/>
      <c r="K124" s="65"/>
      <c r="L124" s="110"/>
      <c r="M124" s="117"/>
      <c r="N124" s="114">
        <v>50</v>
      </c>
      <c r="O124" s="117"/>
      <c r="P124" s="118"/>
      <c r="Q124" s="117"/>
      <c r="R124" s="117"/>
      <c r="S124" s="117"/>
      <c r="T124" s="117"/>
      <c r="U124" s="117"/>
      <c r="V124" s="117"/>
      <c r="W124" s="117"/>
      <c r="X124" s="117"/>
      <c r="Y124" s="117"/>
      <c r="Z124" s="117"/>
      <c r="AA124" s="117"/>
      <c r="AB124" s="117"/>
      <c r="AC124" s="117"/>
      <c r="AD124" s="117"/>
      <c r="AE124" s="117"/>
      <c r="AF124" s="117"/>
      <c r="AG124" s="117"/>
      <c r="AH124" s="117"/>
      <c r="AI124" s="117"/>
      <c r="AJ124" s="117"/>
      <c r="AK124" s="117"/>
      <c r="AL124" s="117"/>
      <c r="AM124" s="117"/>
      <c r="AN124" s="117"/>
      <c r="AO124" s="117"/>
      <c r="AP124" s="117"/>
      <c r="AQ124" s="117"/>
      <c r="AR124" s="117"/>
      <c r="AS124" s="117"/>
      <c r="AT124" s="117"/>
    </row>
    <row r="125" spans="1:46" s="109" customFormat="1" ht="32.25" customHeight="1" x14ac:dyDescent="0.3">
      <c r="A125" s="237">
        <v>6</v>
      </c>
      <c r="B125" s="232" t="s">
        <v>198</v>
      </c>
      <c r="C125" s="241" t="s">
        <v>375</v>
      </c>
      <c r="D125" s="275" t="s">
        <v>374</v>
      </c>
      <c r="E125" s="235">
        <f t="shared" si="8"/>
        <v>50</v>
      </c>
      <c r="F125" s="276">
        <v>0</v>
      </c>
      <c r="G125" s="276">
        <f t="shared" ref="G125:G154" si="10">E125*F125</f>
        <v>0</v>
      </c>
      <c r="I125" s="110"/>
      <c r="J125" s="110"/>
      <c r="K125" s="65"/>
      <c r="L125" s="110"/>
      <c r="M125" s="117"/>
      <c r="N125" s="114">
        <v>50</v>
      </c>
      <c r="O125" s="117"/>
      <c r="P125" s="118"/>
      <c r="Q125" s="117"/>
      <c r="R125" s="117"/>
      <c r="S125" s="117"/>
      <c r="T125" s="117"/>
      <c r="U125" s="117"/>
      <c r="V125" s="117"/>
      <c r="W125" s="117"/>
      <c r="X125" s="117"/>
      <c r="Y125" s="117"/>
      <c r="Z125" s="117"/>
      <c r="AA125" s="117"/>
      <c r="AB125" s="117"/>
      <c r="AC125" s="117"/>
      <c r="AD125" s="117"/>
      <c r="AE125" s="117"/>
      <c r="AF125" s="117"/>
      <c r="AG125" s="117"/>
      <c r="AH125" s="117"/>
      <c r="AI125" s="117"/>
      <c r="AJ125" s="117"/>
      <c r="AK125" s="117"/>
      <c r="AL125" s="117"/>
      <c r="AM125" s="117"/>
      <c r="AN125" s="117"/>
      <c r="AO125" s="117"/>
      <c r="AP125" s="117"/>
      <c r="AQ125" s="117"/>
      <c r="AR125" s="117"/>
      <c r="AS125" s="117"/>
      <c r="AT125" s="117"/>
    </row>
    <row r="126" spans="1:46" s="109" customFormat="1" ht="72.75" customHeight="1" x14ac:dyDescent="0.3">
      <c r="A126" s="237">
        <v>6</v>
      </c>
      <c r="B126" s="232" t="s">
        <v>196</v>
      </c>
      <c r="C126" s="241" t="s">
        <v>376</v>
      </c>
      <c r="D126" s="275" t="s">
        <v>374</v>
      </c>
      <c r="E126" s="235">
        <f t="shared" si="8"/>
        <v>1250</v>
      </c>
      <c r="F126" s="276">
        <v>0</v>
      </c>
      <c r="G126" s="276">
        <f t="shared" si="10"/>
        <v>0</v>
      </c>
      <c r="I126" s="110"/>
      <c r="J126" s="110"/>
      <c r="K126" s="65"/>
      <c r="L126" s="110"/>
      <c r="N126" s="53">
        <v>1250</v>
      </c>
      <c r="P126" s="111"/>
    </row>
    <row r="127" spans="1:46" s="109" customFormat="1" ht="111.75" customHeight="1" x14ac:dyDescent="0.3">
      <c r="A127" s="237">
        <v>6</v>
      </c>
      <c r="B127" s="232" t="s">
        <v>194</v>
      </c>
      <c r="C127" s="241" t="s">
        <v>377</v>
      </c>
      <c r="D127" s="275" t="s">
        <v>374</v>
      </c>
      <c r="E127" s="235">
        <f t="shared" si="8"/>
        <v>125</v>
      </c>
      <c r="F127" s="276">
        <v>0</v>
      </c>
      <c r="G127" s="276">
        <f t="shared" si="10"/>
        <v>0</v>
      </c>
      <c r="I127" s="110"/>
      <c r="J127" s="110"/>
      <c r="K127" s="126"/>
      <c r="L127" s="110"/>
      <c r="N127" s="53">
        <v>125</v>
      </c>
      <c r="P127" s="111"/>
    </row>
    <row r="128" spans="1:46" s="109" customFormat="1" ht="81.75" customHeight="1" x14ac:dyDescent="0.3">
      <c r="A128" s="237">
        <v>6</v>
      </c>
      <c r="B128" s="232" t="s">
        <v>192</v>
      </c>
      <c r="C128" s="241" t="s">
        <v>378</v>
      </c>
      <c r="D128" s="275" t="s">
        <v>374</v>
      </c>
      <c r="E128" s="235">
        <f t="shared" si="8"/>
        <v>20</v>
      </c>
      <c r="F128" s="276">
        <v>0</v>
      </c>
      <c r="G128" s="276">
        <f t="shared" si="10"/>
        <v>0</v>
      </c>
      <c r="I128" s="110"/>
      <c r="J128" s="110"/>
      <c r="K128" s="126"/>
      <c r="L128" s="110"/>
      <c r="N128" s="53">
        <v>20</v>
      </c>
      <c r="P128" s="111"/>
    </row>
    <row r="129" spans="1:16" s="109" customFormat="1" ht="82.8" x14ac:dyDescent="0.3">
      <c r="A129" s="237">
        <v>6</v>
      </c>
      <c r="B129" s="232" t="s">
        <v>190</v>
      </c>
      <c r="C129" s="241" t="s">
        <v>383</v>
      </c>
      <c r="D129" s="275" t="s">
        <v>374</v>
      </c>
      <c r="E129" s="235">
        <f t="shared" si="8"/>
        <v>20</v>
      </c>
      <c r="F129" s="276">
        <v>0</v>
      </c>
      <c r="G129" s="276">
        <f t="shared" si="10"/>
        <v>0</v>
      </c>
      <c r="I129" s="110"/>
      <c r="J129" s="110"/>
      <c r="K129" s="126"/>
      <c r="L129" s="110"/>
      <c r="N129" s="53">
        <v>20</v>
      </c>
      <c r="P129" s="111"/>
    </row>
    <row r="130" spans="1:16" s="109" customFormat="1" ht="82.8" x14ac:dyDescent="0.3">
      <c r="A130" s="237">
        <v>6</v>
      </c>
      <c r="B130" s="232" t="s">
        <v>188</v>
      </c>
      <c r="C130" s="241" t="s">
        <v>384</v>
      </c>
      <c r="D130" s="275" t="s">
        <v>374</v>
      </c>
      <c r="E130" s="235">
        <f t="shared" si="8"/>
        <v>250</v>
      </c>
      <c r="F130" s="276">
        <v>0</v>
      </c>
      <c r="G130" s="276">
        <f t="shared" si="10"/>
        <v>0</v>
      </c>
      <c r="I130" s="110"/>
      <c r="J130" s="110"/>
      <c r="K130" s="126"/>
      <c r="L130" s="110"/>
      <c r="N130" s="53">
        <v>250</v>
      </c>
      <c r="P130" s="111"/>
    </row>
    <row r="131" spans="1:16" s="109" customFormat="1" ht="22.5" customHeight="1" x14ac:dyDescent="0.3">
      <c r="A131" s="237">
        <v>6</v>
      </c>
      <c r="B131" s="232" t="s">
        <v>186</v>
      </c>
      <c r="C131" s="241" t="s">
        <v>385</v>
      </c>
      <c r="D131" s="275" t="s">
        <v>374</v>
      </c>
      <c r="E131" s="235">
        <f t="shared" si="8"/>
        <v>750</v>
      </c>
      <c r="F131" s="276">
        <v>0</v>
      </c>
      <c r="G131" s="276">
        <f t="shared" si="10"/>
        <v>0</v>
      </c>
      <c r="I131" s="110"/>
      <c r="J131" s="110"/>
      <c r="K131" s="126"/>
      <c r="L131" s="110"/>
      <c r="N131" s="53">
        <v>750</v>
      </c>
      <c r="P131" s="111"/>
    </row>
    <row r="132" spans="1:16" s="109" customFormat="1" ht="46.5" customHeight="1" x14ac:dyDescent="0.3">
      <c r="A132" s="237">
        <v>6</v>
      </c>
      <c r="B132" s="232" t="s">
        <v>184</v>
      </c>
      <c r="C132" s="241" t="s">
        <v>386</v>
      </c>
      <c r="D132" s="275" t="s">
        <v>374</v>
      </c>
      <c r="E132" s="235">
        <f t="shared" si="8"/>
        <v>230</v>
      </c>
      <c r="F132" s="276">
        <v>0</v>
      </c>
      <c r="G132" s="276">
        <f t="shared" si="10"/>
        <v>0</v>
      </c>
      <c r="I132" s="110"/>
      <c r="J132" s="110"/>
      <c r="K132" s="126"/>
      <c r="L132" s="110"/>
      <c r="N132" s="53">
        <v>230</v>
      </c>
      <c r="P132" s="111"/>
    </row>
    <row r="133" spans="1:16" s="109" customFormat="1" ht="34.5" customHeight="1" x14ac:dyDescent="0.3">
      <c r="A133" s="237">
        <v>6</v>
      </c>
      <c r="B133" s="232" t="s">
        <v>182</v>
      </c>
      <c r="C133" s="241" t="s">
        <v>387</v>
      </c>
      <c r="D133" s="275" t="s">
        <v>29</v>
      </c>
      <c r="E133" s="235">
        <f t="shared" si="8"/>
        <v>10</v>
      </c>
      <c r="F133" s="276">
        <v>0</v>
      </c>
      <c r="G133" s="276">
        <f t="shared" si="10"/>
        <v>0</v>
      </c>
      <c r="I133" s="110"/>
      <c r="J133" s="110"/>
      <c r="K133" s="126"/>
      <c r="L133" s="110"/>
      <c r="N133" s="53">
        <v>10</v>
      </c>
      <c r="P133" s="111"/>
    </row>
    <row r="134" spans="1:16" s="109" customFormat="1" ht="23.25" customHeight="1" x14ac:dyDescent="0.3">
      <c r="A134" s="237">
        <v>6</v>
      </c>
      <c r="B134" s="232" t="s">
        <v>180</v>
      </c>
      <c r="C134" s="241" t="s">
        <v>388</v>
      </c>
      <c r="D134" s="275" t="s">
        <v>374</v>
      </c>
      <c r="E134" s="235">
        <f t="shared" si="8"/>
        <v>750</v>
      </c>
      <c r="F134" s="276">
        <v>0</v>
      </c>
      <c r="G134" s="276">
        <f t="shared" si="10"/>
        <v>0</v>
      </c>
      <c r="I134" s="110"/>
      <c r="J134" s="110"/>
      <c r="K134" s="126"/>
      <c r="L134" s="110"/>
      <c r="N134" s="53">
        <v>750</v>
      </c>
      <c r="P134" s="111"/>
    </row>
    <row r="135" spans="1:16" s="109" customFormat="1" ht="55.2" x14ac:dyDescent="0.3">
      <c r="A135" s="237">
        <v>6</v>
      </c>
      <c r="B135" s="232" t="s">
        <v>178</v>
      </c>
      <c r="C135" s="241" t="s">
        <v>389</v>
      </c>
      <c r="D135" s="275" t="s">
        <v>29</v>
      </c>
      <c r="E135" s="235">
        <f t="shared" si="8"/>
        <v>1</v>
      </c>
      <c r="F135" s="276">
        <v>0</v>
      </c>
      <c r="G135" s="276">
        <f t="shared" si="10"/>
        <v>0</v>
      </c>
      <c r="I135" s="110"/>
      <c r="J135" s="110"/>
      <c r="K135" s="126"/>
      <c r="L135" s="110"/>
      <c r="N135" s="53">
        <v>1</v>
      </c>
      <c r="P135" s="111"/>
    </row>
    <row r="136" spans="1:16" s="109" customFormat="1" ht="35.25" customHeight="1" x14ac:dyDescent="0.3">
      <c r="A136" s="237">
        <v>6</v>
      </c>
      <c r="B136" s="232" t="s">
        <v>175</v>
      </c>
      <c r="C136" s="241" t="s">
        <v>390</v>
      </c>
      <c r="D136" s="275" t="s">
        <v>29</v>
      </c>
      <c r="E136" s="235">
        <f t="shared" si="8"/>
        <v>52</v>
      </c>
      <c r="F136" s="276">
        <v>0</v>
      </c>
      <c r="G136" s="276">
        <f t="shared" si="10"/>
        <v>0</v>
      </c>
      <c r="I136" s="110"/>
      <c r="J136" s="110"/>
      <c r="K136" s="126"/>
      <c r="L136" s="110"/>
      <c r="N136" s="53">
        <v>52</v>
      </c>
      <c r="P136" s="111"/>
    </row>
    <row r="137" spans="1:16" s="109" customFormat="1" ht="61.5" customHeight="1" x14ac:dyDescent="0.3">
      <c r="A137" s="237">
        <v>6</v>
      </c>
      <c r="B137" s="232" t="s">
        <v>173</v>
      </c>
      <c r="C137" s="241" t="s">
        <v>391</v>
      </c>
      <c r="D137" s="275" t="s">
        <v>29</v>
      </c>
      <c r="E137" s="235">
        <f t="shared" si="8"/>
        <v>52</v>
      </c>
      <c r="F137" s="276">
        <v>0</v>
      </c>
      <c r="G137" s="276">
        <f t="shared" si="10"/>
        <v>0</v>
      </c>
      <c r="I137" s="110"/>
      <c r="J137" s="110"/>
      <c r="K137" s="126"/>
      <c r="L137" s="110"/>
      <c r="N137" s="53">
        <v>52</v>
      </c>
      <c r="P137" s="111"/>
    </row>
    <row r="138" spans="1:16" s="109" customFormat="1" ht="69.75" customHeight="1" x14ac:dyDescent="0.3">
      <c r="A138" s="237">
        <v>6</v>
      </c>
      <c r="B138" s="232" t="s">
        <v>171</v>
      </c>
      <c r="C138" s="241" t="s">
        <v>392</v>
      </c>
      <c r="D138" s="275" t="s">
        <v>29</v>
      </c>
      <c r="E138" s="235">
        <f t="shared" si="8"/>
        <v>4</v>
      </c>
      <c r="F138" s="276">
        <v>0</v>
      </c>
      <c r="G138" s="276">
        <f t="shared" si="10"/>
        <v>0</v>
      </c>
      <c r="I138" s="110"/>
      <c r="J138" s="110"/>
      <c r="K138" s="126"/>
      <c r="L138" s="110"/>
      <c r="N138" s="53">
        <v>4</v>
      </c>
      <c r="P138" s="111"/>
    </row>
    <row r="139" spans="1:16" s="109" customFormat="1" ht="148.5" customHeight="1" x14ac:dyDescent="0.3">
      <c r="A139" s="237">
        <v>6</v>
      </c>
      <c r="B139" s="232" t="s">
        <v>169</v>
      </c>
      <c r="C139" s="241" t="s">
        <v>621</v>
      </c>
      <c r="D139" s="275" t="s">
        <v>10</v>
      </c>
      <c r="E139" s="235">
        <f t="shared" si="8"/>
        <v>1</v>
      </c>
      <c r="F139" s="276">
        <v>0</v>
      </c>
      <c r="G139" s="276">
        <f t="shared" si="10"/>
        <v>0</v>
      </c>
      <c r="I139" s="110"/>
      <c r="J139" s="110"/>
      <c r="K139" s="126"/>
      <c r="L139" s="110"/>
      <c r="N139" s="53">
        <v>1</v>
      </c>
      <c r="P139" s="111"/>
    </row>
    <row r="140" spans="1:16" s="109" customFormat="1" ht="44.25" customHeight="1" x14ac:dyDescent="0.3">
      <c r="A140" s="237">
        <v>6</v>
      </c>
      <c r="B140" s="232" t="s">
        <v>167</v>
      </c>
      <c r="C140" s="241" t="s">
        <v>394</v>
      </c>
      <c r="D140" s="275" t="s">
        <v>10</v>
      </c>
      <c r="E140" s="235">
        <f t="shared" si="8"/>
        <v>3</v>
      </c>
      <c r="F140" s="276">
        <v>0</v>
      </c>
      <c r="G140" s="276">
        <f t="shared" si="10"/>
        <v>0</v>
      </c>
      <c r="I140" s="110"/>
      <c r="J140" s="110"/>
      <c r="K140" s="126"/>
      <c r="L140" s="110"/>
      <c r="N140" s="53">
        <v>3</v>
      </c>
      <c r="P140" s="111"/>
    </row>
    <row r="141" spans="1:16" s="109" customFormat="1" ht="157.5" customHeight="1" x14ac:dyDescent="0.3">
      <c r="A141" s="237">
        <v>6</v>
      </c>
      <c r="B141" s="232" t="s">
        <v>165</v>
      </c>
      <c r="C141" s="241" t="s">
        <v>395</v>
      </c>
      <c r="D141" s="275" t="s">
        <v>29</v>
      </c>
      <c r="E141" s="235">
        <f t="shared" si="8"/>
        <v>2</v>
      </c>
      <c r="F141" s="276">
        <v>0</v>
      </c>
      <c r="G141" s="276">
        <f t="shared" si="10"/>
        <v>0</v>
      </c>
      <c r="I141" s="110"/>
      <c r="J141" s="110"/>
      <c r="K141" s="126"/>
      <c r="L141" s="110"/>
      <c r="N141" s="53">
        <v>2</v>
      </c>
      <c r="P141" s="111"/>
    </row>
    <row r="142" spans="1:16" s="109" customFormat="1" ht="48" customHeight="1" x14ac:dyDescent="0.3">
      <c r="A142" s="237">
        <v>6</v>
      </c>
      <c r="B142" s="232" t="s">
        <v>163</v>
      </c>
      <c r="C142" s="241" t="s">
        <v>396</v>
      </c>
      <c r="D142" s="275" t="s">
        <v>29</v>
      </c>
      <c r="E142" s="235">
        <f t="shared" si="8"/>
        <v>4</v>
      </c>
      <c r="F142" s="276">
        <v>0</v>
      </c>
      <c r="G142" s="276">
        <f t="shared" si="10"/>
        <v>0</v>
      </c>
      <c r="I142" s="110"/>
      <c r="J142" s="110"/>
      <c r="K142" s="126"/>
      <c r="L142" s="110"/>
      <c r="N142" s="53">
        <v>4</v>
      </c>
      <c r="P142" s="111"/>
    </row>
    <row r="143" spans="1:16" s="109" customFormat="1" ht="23.25" customHeight="1" x14ac:dyDescent="0.3">
      <c r="A143" s="237">
        <v>6</v>
      </c>
      <c r="B143" s="232" t="s">
        <v>161</v>
      </c>
      <c r="C143" s="241" t="s">
        <v>397</v>
      </c>
      <c r="D143" s="275" t="s">
        <v>29</v>
      </c>
      <c r="E143" s="235">
        <f t="shared" si="8"/>
        <v>2</v>
      </c>
      <c r="F143" s="276">
        <v>0</v>
      </c>
      <c r="G143" s="276">
        <f t="shared" si="10"/>
        <v>0</v>
      </c>
      <c r="I143" s="110"/>
      <c r="J143" s="110"/>
      <c r="K143" s="126"/>
      <c r="L143" s="110"/>
      <c r="N143" s="53">
        <v>2</v>
      </c>
      <c r="P143" s="111"/>
    </row>
    <row r="144" spans="1:16" s="109" customFormat="1" ht="36" customHeight="1" x14ac:dyDescent="0.3">
      <c r="A144" s="237">
        <v>6</v>
      </c>
      <c r="B144" s="232" t="s">
        <v>159</v>
      </c>
      <c r="C144" s="241" t="s">
        <v>398</v>
      </c>
      <c r="D144" s="275" t="s">
        <v>10</v>
      </c>
      <c r="E144" s="235">
        <f t="shared" si="8"/>
        <v>2</v>
      </c>
      <c r="F144" s="276">
        <v>0</v>
      </c>
      <c r="G144" s="276">
        <f t="shared" si="10"/>
        <v>0</v>
      </c>
      <c r="I144" s="110"/>
      <c r="J144" s="110"/>
      <c r="K144" s="126"/>
      <c r="L144" s="110"/>
      <c r="N144" s="53">
        <v>2</v>
      </c>
      <c r="P144" s="111"/>
    </row>
    <row r="145" spans="1:17" s="109" customFormat="1" ht="19.5" customHeight="1" x14ac:dyDescent="0.3">
      <c r="A145" s="237">
        <v>6</v>
      </c>
      <c r="B145" s="232" t="s">
        <v>222</v>
      </c>
      <c r="C145" s="241" t="s">
        <v>399</v>
      </c>
      <c r="D145" s="275" t="s">
        <v>29</v>
      </c>
      <c r="E145" s="235">
        <f t="shared" si="8"/>
        <v>2</v>
      </c>
      <c r="F145" s="276">
        <v>0</v>
      </c>
      <c r="G145" s="276">
        <f t="shared" si="10"/>
        <v>0</v>
      </c>
      <c r="I145" s="110"/>
      <c r="J145" s="110"/>
      <c r="K145" s="126"/>
      <c r="L145" s="110"/>
      <c r="N145" s="53">
        <v>2</v>
      </c>
      <c r="P145" s="111"/>
    </row>
    <row r="146" spans="1:17" s="109" customFormat="1" ht="24.75" customHeight="1" x14ac:dyDescent="0.3">
      <c r="A146" s="237">
        <v>6</v>
      </c>
      <c r="B146" s="232" t="s">
        <v>223</v>
      </c>
      <c r="C146" s="241" t="s">
        <v>400</v>
      </c>
      <c r="D146" s="275" t="s">
        <v>29</v>
      </c>
      <c r="E146" s="235">
        <f t="shared" si="8"/>
        <v>6</v>
      </c>
      <c r="F146" s="276">
        <v>0</v>
      </c>
      <c r="G146" s="276">
        <f t="shared" si="10"/>
        <v>0</v>
      </c>
      <c r="I146" s="110"/>
      <c r="J146" s="110"/>
      <c r="K146" s="126"/>
      <c r="L146" s="110"/>
      <c r="N146" s="53">
        <v>6</v>
      </c>
      <c r="P146" s="111"/>
    </row>
    <row r="147" spans="1:17" s="109" customFormat="1" ht="72" customHeight="1" x14ac:dyDescent="0.3">
      <c r="A147" s="237">
        <v>6</v>
      </c>
      <c r="B147" s="232" t="s">
        <v>253</v>
      </c>
      <c r="C147" s="241" t="s">
        <v>401</v>
      </c>
      <c r="D147" s="275" t="s">
        <v>29</v>
      </c>
      <c r="E147" s="235">
        <f t="shared" si="8"/>
        <v>1</v>
      </c>
      <c r="F147" s="276">
        <v>0</v>
      </c>
      <c r="G147" s="276">
        <f t="shared" si="10"/>
        <v>0</v>
      </c>
      <c r="I147" s="110"/>
      <c r="J147" s="110"/>
      <c r="K147" s="126"/>
      <c r="L147" s="110"/>
      <c r="N147" s="53">
        <v>1</v>
      </c>
      <c r="P147" s="111"/>
    </row>
    <row r="148" spans="1:17" s="109" customFormat="1" ht="36" customHeight="1" x14ac:dyDescent="0.3">
      <c r="A148" s="237">
        <v>6</v>
      </c>
      <c r="B148" s="232" t="s">
        <v>254</v>
      </c>
      <c r="C148" s="241" t="s">
        <v>402</v>
      </c>
      <c r="D148" s="275" t="s">
        <v>29</v>
      </c>
      <c r="E148" s="235">
        <f t="shared" si="8"/>
        <v>1</v>
      </c>
      <c r="F148" s="276">
        <v>0</v>
      </c>
      <c r="G148" s="276">
        <f t="shared" si="10"/>
        <v>0</v>
      </c>
      <c r="I148" s="110"/>
      <c r="J148" s="110"/>
      <c r="K148" s="126"/>
      <c r="L148" s="110"/>
      <c r="N148" s="53">
        <v>1</v>
      </c>
      <c r="P148" s="111"/>
    </row>
    <row r="149" spans="1:17" s="109" customFormat="1" ht="37.5" customHeight="1" x14ac:dyDescent="0.3">
      <c r="A149" s="237">
        <v>6</v>
      </c>
      <c r="B149" s="232" t="s">
        <v>255</v>
      </c>
      <c r="C149" s="241" t="s">
        <v>403</v>
      </c>
      <c r="D149" s="275" t="s">
        <v>29</v>
      </c>
      <c r="E149" s="235">
        <f t="shared" si="8"/>
        <v>1</v>
      </c>
      <c r="F149" s="276">
        <v>0</v>
      </c>
      <c r="G149" s="276">
        <f t="shared" si="10"/>
        <v>0</v>
      </c>
      <c r="I149" s="110"/>
      <c r="J149" s="110"/>
      <c r="K149" s="126"/>
      <c r="L149" s="110"/>
      <c r="N149" s="53">
        <v>1</v>
      </c>
      <c r="P149" s="111"/>
    </row>
    <row r="150" spans="1:17" s="109" customFormat="1" ht="87" customHeight="1" x14ac:dyDescent="0.3">
      <c r="A150" s="237">
        <v>6</v>
      </c>
      <c r="B150" s="232" t="s">
        <v>269</v>
      </c>
      <c r="C150" s="241" t="s">
        <v>404</v>
      </c>
      <c r="D150" s="275" t="s">
        <v>10</v>
      </c>
      <c r="E150" s="235">
        <f t="shared" si="8"/>
        <v>1</v>
      </c>
      <c r="F150" s="276">
        <v>0</v>
      </c>
      <c r="G150" s="276">
        <f t="shared" si="10"/>
        <v>0</v>
      </c>
      <c r="I150" s="110"/>
      <c r="J150" s="110"/>
      <c r="K150" s="126"/>
      <c r="L150" s="110"/>
      <c r="N150" s="53">
        <v>1</v>
      </c>
      <c r="P150" s="111"/>
    </row>
    <row r="151" spans="1:17" s="109" customFormat="1" ht="121.5" customHeight="1" x14ac:dyDescent="0.3">
      <c r="A151" s="237">
        <v>6</v>
      </c>
      <c r="B151" s="232" t="s">
        <v>256</v>
      </c>
      <c r="C151" s="241" t="s">
        <v>639</v>
      </c>
      <c r="D151" s="275" t="s">
        <v>374</v>
      </c>
      <c r="E151" s="235">
        <f t="shared" si="8"/>
        <v>100</v>
      </c>
      <c r="F151" s="276">
        <v>0</v>
      </c>
      <c r="G151" s="276">
        <f t="shared" si="10"/>
        <v>0</v>
      </c>
      <c r="I151" s="110"/>
      <c r="J151" s="110"/>
      <c r="K151" s="126"/>
      <c r="L151" s="110"/>
      <c r="N151" s="53">
        <v>100</v>
      </c>
      <c r="P151" s="111"/>
    </row>
    <row r="152" spans="1:17" s="109" customFormat="1" ht="110.4" x14ac:dyDescent="0.3">
      <c r="A152" s="237">
        <v>6</v>
      </c>
      <c r="B152" s="232" t="s">
        <v>257</v>
      </c>
      <c r="C152" s="241" t="s">
        <v>640</v>
      </c>
      <c r="D152" s="275" t="s">
        <v>374</v>
      </c>
      <c r="E152" s="235">
        <f t="shared" si="8"/>
        <v>100</v>
      </c>
      <c r="F152" s="276">
        <v>0</v>
      </c>
      <c r="G152" s="276">
        <f t="shared" si="10"/>
        <v>0</v>
      </c>
      <c r="I152" s="110"/>
      <c r="J152" s="110"/>
      <c r="K152" s="126"/>
      <c r="L152" s="110"/>
      <c r="N152" s="53">
        <v>100</v>
      </c>
      <c r="P152" s="111"/>
    </row>
    <row r="153" spans="1:17" s="109" customFormat="1" ht="44.25" customHeight="1" x14ac:dyDescent="0.3">
      <c r="A153" s="237">
        <v>6</v>
      </c>
      <c r="B153" s="232" t="s">
        <v>270</v>
      </c>
      <c r="C153" s="241" t="s">
        <v>407</v>
      </c>
      <c r="D153" s="275" t="s">
        <v>374</v>
      </c>
      <c r="E153" s="235">
        <f t="shared" ref="E153:E154" si="11">SUM(H153:N153)</f>
        <v>150</v>
      </c>
      <c r="F153" s="276">
        <v>0</v>
      </c>
      <c r="G153" s="276">
        <f t="shared" si="10"/>
        <v>0</v>
      </c>
      <c r="I153" s="110"/>
      <c r="J153" s="110"/>
      <c r="K153" s="126"/>
      <c r="L153" s="110"/>
      <c r="N153" s="53">
        <v>150</v>
      </c>
      <c r="P153" s="111"/>
    </row>
    <row r="154" spans="1:17" s="109" customFormat="1" ht="73.5" customHeight="1" x14ac:dyDescent="0.3">
      <c r="A154" s="237">
        <v>6</v>
      </c>
      <c r="B154" s="232" t="s">
        <v>271</v>
      </c>
      <c r="C154" s="241" t="s">
        <v>408</v>
      </c>
      <c r="D154" s="275" t="s">
        <v>29</v>
      </c>
      <c r="E154" s="235">
        <f t="shared" si="11"/>
        <v>4</v>
      </c>
      <c r="F154" s="276">
        <v>0</v>
      </c>
      <c r="G154" s="276">
        <f t="shared" si="10"/>
        <v>0</v>
      </c>
      <c r="I154" s="110"/>
      <c r="J154" s="110"/>
      <c r="K154" s="126"/>
      <c r="L154" s="110"/>
      <c r="N154" s="53">
        <v>4</v>
      </c>
      <c r="P154" s="111"/>
    </row>
    <row r="155" spans="1:17" x14ac:dyDescent="0.3">
      <c r="A155" s="231" t="s">
        <v>97</v>
      </c>
      <c r="B155" s="232"/>
      <c r="C155" s="240" t="s">
        <v>95</v>
      </c>
      <c r="D155" s="234"/>
      <c r="E155" s="235"/>
      <c r="F155" s="236"/>
      <c r="G155" s="236"/>
      <c r="H155" s="63"/>
      <c r="I155" s="60"/>
      <c r="J155" s="42"/>
      <c r="K155" s="98"/>
      <c r="L155" s="68"/>
      <c r="M155" s="70"/>
      <c r="N155" s="51"/>
      <c r="O155" s="52"/>
      <c r="P155" s="52"/>
      <c r="Q155" s="52"/>
    </row>
    <row r="156" spans="1:17" ht="96.6" x14ac:dyDescent="0.3">
      <c r="A156" s="237">
        <v>7</v>
      </c>
      <c r="B156" s="232" t="s">
        <v>8</v>
      </c>
      <c r="C156" s="241" t="s">
        <v>491</v>
      </c>
      <c r="D156" s="234" t="s">
        <v>18</v>
      </c>
      <c r="E156" s="235">
        <f>SUM(H156:N156)</f>
        <v>6.15</v>
      </c>
      <c r="F156" s="236">
        <v>0</v>
      </c>
      <c r="G156" s="236">
        <f>E156*F156</f>
        <v>0</v>
      </c>
      <c r="H156" s="63"/>
      <c r="I156" s="60"/>
      <c r="J156" s="42"/>
      <c r="K156" s="98"/>
      <c r="L156" s="68"/>
      <c r="M156" s="70"/>
      <c r="N156" s="51">
        <v>6.15</v>
      </c>
      <c r="O156" s="52"/>
      <c r="P156" s="52"/>
      <c r="Q156" s="52"/>
    </row>
    <row r="157" spans="1:17" x14ac:dyDescent="0.3">
      <c r="A157" s="231" t="s">
        <v>102</v>
      </c>
      <c r="B157" s="232"/>
      <c r="C157" s="240" t="s">
        <v>98</v>
      </c>
      <c r="D157" s="234"/>
      <c r="E157" s="235"/>
      <c r="F157" s="236"/>
      <c r="G157" s="236"/>
      <c r="H157" s="63"/>
      <c r="I157" s="60"/>
      <c r="J157" s="42"/>
      <c r="K157" s="98"/>
      <c r="L157" s="68"/>
      <c r="M157" s="70"/>
      <c r="N157" s="51"/>
      <c r="O157" s="52"/>
      <c r="P157" s="52"/>
      <c r="Q157" s="52"/>
    </row>
    <row r="158" spans="1:17" ht="193.2" x14ac:dyDescent="0.3">
      <c r="A158" s="237">
        <v>8</v>
      </c>
      <c r="B158" s="232" t="s">
        <v>8</v>
      </c>
      <c r="C158" s="241" t="s">
        <v>469</v>
      </c>
      <c r="D158" s="234" t="s">
        <v>25</v>
      </c>
      <c r="E158" s="235">
        <f>SUM(H158:N158)</f>
        <v>1.39</v>
      </c>
      <c r="F158" s="236">
        <v>0</v>
      </c>
      <c r="G158" s="236">
        <f>$E158*$F158</f>
        <v>0</v>
      </c>
      <c r="H158" s="63"/>
      <c r="I158" s="60"/>
      <c r="J158" s="42"/>
      <c r="K158" s="98"/>
      <c r="L158" s="68"/>
      <c r="M158" s="70"/>
      <c r="N158" s="51">
        <v>1.39</v>
      </c>
      <c r="O158" s="52">
        <f>258+50+250</f>
        <v>558</v>
      </c>
      <c r="P158" s="52"/>
      <c r="Q158" s="52">
        <v>360</v>
      </c>
    </row>
    <row r="159" spans="1:17" ht="124.2" x14ac:dyDescent="0.3">
      <c r="A159" s="237">
        <v>8</v>
      </c>
      <c r="B159" s="232" t="s">
        <v>11</v>
      </c>
      <c r="C159" s="241" t="s">
        <v>606</v>
      </c>
      <c r="D159" s="234" t="s">
        <v>25</v>
      </c>
      <c r="E159" s="235">
        <f>SUM(H159:N159)</f>
        <v>1.39</v>
      </c>
      <c r="F159" s="236">
        <v>0</v>
      </c>
      <c r="G159" s="236">
        <f t="shared" ref="G159" si="12">$E159*$F159</f>
        <v>0</v>
      </c>
      <c r="H159" s="63"/>
      <c r="I159" s="60"/>
      <c r="J159" s="42"/>
      <c r="K159" s="98"/>
      <c r="L159" s="68"/>
      <c r="M159" s="70"/>
      <c r="N159" s="51">
        <v>1.39</v>
      </c>
      <c r="O159" s="52">
        <f>168+90</f>
        <v>258</v>
      </c>
      <c r="P159" s="52"/>
      <c r="Q159" s="52">
        <v>170</v>
      </c>
    </row>
    <row r="160" spans="1:17" x14ac:dyDescent="0.3">
      <c r="A160" s="231">
        <v>9</v>
      </c>
      <c r="B160" s="232"/>
      <c r="C160" s="240" t="s">
        <v>106</v>
      </c>
      <c r="D160" s="234"/>
      <c r="E160" s="235"/>
      <c r="F160" s="236"/>
      <c r="G160" s="236"/>
      <c r="H160" s="63"/>
      <c r="I160" s="60"/>
      <c r="J160" s="42"/>
      <c r="K160" s="98"/>
      <c r="L160" s="68"/>
      <c r="M160" s="70"/>
      <c r="N160" s="51"/>
      <c r="O160" s="52"/>
      <c r="P160" s="52"/>
      <c r="Q160" s="52"/>
    </row>
    <row r="161" spans="1:17" ht="186" customHeight="1" x14ac:dyDescent="0.3">
      <c r="A161" s="237">
        <v>9</v>
      </c>
      <c r="B161" s="232" t="s">
        <v>8</v>
      </c>
      <c r="C161" s="238" t="s">
        <v>492</v>
      </c>
      <c r="D161" s="234" t="s">
        <v>25</v>
      </c>
      <c r="E161" s="235">
        <f>SUM(H161:N161)</f>
        <v>109.86000000000001</v>
      </c>
      <c r="F161" s="236">
        <v>0</v>
      </c>
      <c r="G161" s="236">
        <f>$E161*$F161</f>
        <v>0</v>
      </c>
      <c r="H161" s="63"/>
      <c r="I161" s="60"/>
      <c r="J161" s="42"/>
      <c r="K161" s="98"/>
      <c r="L161" s="68"/>
      <c r="M161" s="70"/>
      <c r="N161" s="51">
        <f>9.6+9+17.66+11.36+10.36+12.04+12.44+7.64+19.76</f>
        <v>109.86000000000001</v>
      </c>
      <c r="O161" s="52">
        <v>80</v>
      </c>
      <c r="P161" s="52"/>
      <c r="Q161" s="52">
        <v>60</v>
      </c>
    </row>
    <row r="162" spans="1:17" x14ac:dyDescent="0.3">
      <c r="A162" s="257"/>
      <c r="B162" s="258"/>
      <c r="C162" s="277"/>
      <c r="D162" s="260"/>
      <c r="E162" s="303" t="s">
        <v>642</v>
      </c>
      <c r="F162" s="303"/>
      <c r="G162" s="236">
        <f>SUM(G45:G161)</f>
        <v>0</v>
      </c>
      <c r="H162" s="63"/>
      <c r="I162" s="60"/>
      <c r="J162" s="42"/>
      <c r="K162" s="98"/>
      <c r="L162" s="68"/>
      <c r="M162" s="70"/>
      <c r="N162" s="51"/>
      <c r="O162" s="52"/>
      <c r="P162" s="52"/>
      <c r="Q162" s="52"/>
    </row>
    <row r="163" spans="1:17" x14ac:dyDescent="0.3">
      <c r="A163" s="278"/>
      <c r="B163" s="279"/>
      <c r="C163" s="280"/>
      <c r="D163" s="281"/>
      <c r="E163" s="282" t="s">
        <v>641</v>
      </c>
      <c r="F163" s="283">
        <v>0.25</v>
      </c>
      <c r="G163" s="236">
        <f>G162*F163</f>
        <v>0</v>
      </c>
      <c r="H163" s="63"/>
      <c r="I163" s="60"/>
      <c r="J163" s="42"/>
      <c r="K163" s="98"/>
      <c r="L163" s="68"/>
      <c r="M163" s="70"/>
      <c r="N163" s="51"/>
      <c r="O163" s="52"/>
      <c r="P163" s="52"/>
      <c r="Q163" s="52"/>
    </row>
    <row r="164" spans="1:17" x14ac:dyDescent="0.3">
      <c r="A164" s="278"/>
      <c r="B164" s="279"/>
      <c r="C164" s="280"/>
      <c r="D164" s="281"/>
      <c r="E164" s="304" t="s">
        <v>643</v>
      </c>
      <c r="F164" s="304"/>
      <c r="G164" s="236">
        <f>SUM(G162:G163)</f>
        <v>0</v>
      </c>
      <c r="H164" s="63"/>
      <c r="I164" s="60"/>
      <c r="J164" s="42"/>
      <c r="K164" s="98"/>
      <c r="L164" s="68"/>
      <c r="M164" s="70"/>
      <c r="N164" s="51"/>
      <c r="O164" s="52"/>
      <c r="P164" s="52"/>
      <c r="Q164" s="52"/>
    </row>
  </sheetData>
  <mergeCells count="5">
    <mergeCell ref="A12:G12"/>
    <mergeCell ref="A16:G16"/>
    <mergeCell ref="A20:G20"/>
    <mergeCell ref="E162:F162"/>
    <mergeCell ref="E164:F164"/>
  </mergeCells>
  <phoneticPr fontId="8" type="noConversion"/>
  <pageMargins left="0.98425196850393704" right="0.39370078740157483" top="1.1811023622047245" bottom="0.78740157480314965" header="0.39370078740157483" footer="0.39370078740157483"/>
  <pageSetup paperSize="9" scale="96" orientation="portrait" useFirstPageNumber="1" r:id="rId1"/>
  <headerFooter>
    <oddHeader>&amp;L&amp;G&amp;R&amp;G</oddHeader>
    <oddFooter xml:space="preserve">&amp;L&amp;"-,Bold"&amp;9TROŠKOVNIK &amp;A&amp;"-,Regular"     &amp;KFF0000 &amp;K000000GRAĐEVINSKI PROJEKT - PROJEKT POPRAVKA GRAĐEVINSKE KONSTRUKCIJE     GPP-13/21&amp;R&amp;"-,Bold"&amp;9&amp;P/&amp;N   </oddFooter>
  </headerFooter>
  <rowBreaks count="3" manualBreakCount="3">
    <brk id="59" max="16383" man="1"/>
    <brk id="76" max="16383" man="1"/>
    <brk id="156"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1AB34-5C59-4E11-AA22-1708736532AE}">
  <sheetPr codeName="Sheet10"/>
  <dimension ref="A12:Q75"/>
  <sheetViews>
    <sheetView view="pageBreakPreview" topLeftCell="A58" zoomScaleNormal="100" zoomScaleSheetLayoutView="100" zoomScalePageLayoutView="60" workbookViewId="0">
      <selection activeCell="C59" sqref="C59"/>
    </sheetView>
  </sheetViews>
  <sheetFormatPr defaultRowHeight="14.4" x14ac:dyDescent="0.3"/>
  <cols>
    <col min="1" max="1" width="3.6640625" style="8" customWidth="1"/>
    <col min="2" max="2" width="3.6640625" style="9" customWidth="1"/>
    <col min="3" max="3" width="40.6640625" style="10" customWidth="1"/>
    <col min="4" max="4" width="7.6640625" style="11" customWidth="1"/>
    <col min="5" max="5" width="8.6640625" style="12" customWidth="1"/>
    <col min="6" max="6" width="12.6640625" style="14" customWidth="1"/>
    <col min="7" max="7" width="13.6640625" style="14" customWidth="1"/>
    <col min="8" max="8" width="8.88671875" style="61" hidden="1" customWidth="1"/>
    <col min="9" max="9" width="11" style="58" hidden="1" customWidth="1"/>
    <col min="10" max="10" width="8.88671875" style="57" hidden="1" customWidth="1"/>
    <col min="11" max="11" width="8.88671875" style="71" hidden="1" customWidth="1"/>
    <col min="12" max="12" width="8.88671875" style="72" hidden="1" customWidth="1"/>
    <col min="13" max="13" width="8.88671875" style="73" hidden="1" customWidth="1"/>
    <col min="14" max="14" width="8.88671875" style="55" hidden="1" customWidth="1"/>
    <col min="15" max="15" width="12" hidden="1" customWidth="1"/>
    <col min="16" max="16" width="5" hidden="1" customWidth="1"/>
    <col min="17" max="17" width="11.33203125" hidden="1" customWidth="1"/>
    <col min="26" max="26" width="11.109375" bestFit="1" customWidth="1"/>
  </cols>
  <sheetData>
    <row r="12" spans="1:7" ht="71.25" customHeight="1" x14ac:dyDescent="0.3">
      <c r="A12" s="287" t="s">
        <v>332</v>
      </c>
      <c r="B12" s="288"/>
      <c r="C12" s="288"/>
      <c r="D12" s="288"/>
      <c r="E12" s="288"/>
      <c r="F12" s="288"/>
      <c r="G12" s="288"/>
    </row>
    <row r="16" spans="1:7" ht="59.25" customHeight="1" x14ac:dyDescent="0.3">
      <c r="A16" s="292" t="s">
        <v>309</v>
      </c>
      <c r="B16" s="289"/>
      <c r="C16" s="289"/>
      <c r="D16" s="289"/>
      <c r="E16" s="289"/>
      <c r="F16" s="289"/>
      <c r="G16" s="289"/>
    </row>
    <row r="17" spans="11:14" x14ac:dyDescent="0.3">
      <c r="K17" s="96"/>
      <c r="N17" s="120"/>
    </row>
    <row r="18" spans="11:14" x14ac:dyDescent="0.3">
      <c r="K18" s="96"/>
      <c r="N18" s="120"/>
    </row>
    <row r="19" spans="11:14" x14ac:dyDescent="0.3">
      <c r="K19" s="96"/>
      <c r="N19" s="120"/>
    </row>
    <row r="20" spans="11:14" x14ac:dyDescent="0.3">
      <c r="K20" s="96"/>
      <c r="N20" s="120"/>
    </row>
    <row r="21" spans="11:14" x14ac:dyDescent="0.3">
      <c r="K21" s="96"/>
      <c r="N21" s="120"/>
    </row>
    <row r="22" spans="11:14" x14ac:dyDescent="0.3">
      <c r="K22" s="96"/>
      <c r="N22" s="120"/>
    </row>
    <row r="23" spans="11:14" x14ac:dyDescent="0.3">
      <c r="K23" s="96"/>
      <c r="N23" s="120"/>
    </row>
    <row r="24" spans="11:14" x14ac:dyDescent="0.3">
      <c r="K24" s="96"/>
      <c r="N24" s="120"/>
    </row>
    <row r="25" spans="11:14" x14ac:dyDescent="0.3">
      <c r="K25" s="96"/>
      <c r="N25" s="120"/>
    </row>
    <row r="26" spans="11:14" x14ac:dyDescent="0.3">
      <c r="K26" s="96"/>
      <c r="N26" s="120"/>
    </row>
    <row r="27" spans="11:14" x14ac:dyDescent="0.3">
      <c r="K27" s="96"/>
      <c r="N27" s="120"/>
    </row>
    <row r="44" spans="1:17" ht="41.4" x14ac:dyDescent="0.3">
      <c r="A44" s="15" t="s">
        <v>0</v>
      </c>
      <c r="B44" s="16"/>
      <c r="C44" s="17" t="s">
        <v>1</v>
      </c>
      <c r="D44" s="18" t="s">
        <v>2</v>
      </c>
      <c r="E44" s="19" t="s">
        <v>3</v>
      </c>
      <c r="F44" s="20" t="s">
        <v>4</v>
      </c>
      <c r="G44" s="21" t="s">
        <v>5</v>
      </c>
      <c r="H44" s="62" t="s">
        <v>110</v>
      </c>
      <c r="I44" s="59" t="s">
        <v>111</v>
      </c>
      <c r="J44" s="54"/>
      <c r="K44" s="64"/>
      <c r="L44" s="67"/>
      <c r="M44" s="69"/>
      <c r="N44" s="56"/>
      <c r="O44" s="52" t="s">
        <v>107</v>
      </c>
      <c r="P44" s="52" t="s">
        <v>108</v>
      </c>
      <c r="Q44" s="52" t="s">
        <v>109</v>
      </c>
    </row>
    <row r="45" spans="1:17" x14ac:dyDescent="0.3">
      <c r="A45" s="28" t="s">
        <v>6</v>
      </c>
      <c r="B45" s="29"/>
      <c r="C45" s="30" t="s">
        <v>7</v>
      </c>
      <c r="D45" s="31"/>
      <c r="E45" s="32"/>
      <c r="F45" s="33"/>
      <c r="G45" s="33"/>
    </row>
    <row r="46" spans="1:17" ht="331.2" x14ac:dyDescent="0.3">
      <c r="A46" s="1">
        <v>1</v>
      </c>
      <c r="B46" s="2" t="s">
        <v>8</v>
      </c>
      <c r="C46" s="3" t="s">
        <v>22</v>
      </c>
      <c r="D46" s="163" t="s">
        <v>10</v>
      </c>
      <c r="E46" s="164">
        <v>1</v>
      </c>
      <c r="F46" s="165">
        <f>SUM(H46:N46)</f>
        <v>32000</v>
      </c>
      <c r="G46" s="165">
        <f t="shared" ref="G46:G52" si="0">$E46*$F46</f>
        <v>32000</v>
      </c>
      <c r="H46" s="63">
        <v>16000</v>
      </c>
      <c r="I46" s="60">
        <v>16000</v>
      </c>
      <c r="J46" s="42"/>
      <c r="K46" s="65"/>
      <c r="L46" s="68"/>
      <c r="M46" s="70"/>
      <c r="N46" s="51"/>
      <c r="O46" s="52"/>
      <c r="P46" s="52"/>
      <c r="Q46" s="52"/>
    </row>
    <row r="47" spans="1:17" ht="220.8" x14ac:dyDescent="0.3">
      <c r="A47" s="1">
        <v>1</v>
      </c>
      <c r="B47" s="2" t="s">
        <v>11</v>
      </c>
      <c r="C47" s="3" t="s">
        <v>23</v>
      </c>
      <c r="D47" s="163" t="s">
        <v>10</v>
      </c>
      <c r="E47" s="164">
        <v>1</v>
      </c>
      <c r="F47" s="165">
        <f>SUM(H47:N47)</f>
        <v>120000</v>
      </c>
      <c r="G47" s="165">
        <f t="shared" si="0"/>
        <v>120000</v>
      </c>
      <c r="H47" s="63">
        <v>65000</v>
      </c>
      <c r="I47" s="60">
        <v>55000</v>
      </c>
      <c r="J47" s="42"/>
      <c r="K47" s="65"/>
      <c r="L47" s="68"/>
      <c r="M47" s="70"/>
      <c r="N47" s="51"/>
      <c r="O47" s="52"/>
      <c r="P47" s="52"/>
      <c r="Q47" s="52"/>
    </row>
    <row r="48" spans="1:17" ht="138" x14ac:dyDescent="0.3">
      <c r="A48" s="1">
        <v>1</v>
      </c>
      <c r="B48" s="2" t="s">
        <v>13</v>
      </c>
      <c r="C48" s="3" t="s">
        <v>24</v>
      </c>
      <c r="D48" s="163" t="s">
        <v>25</v>
      </c>
      <c r="E48" s="164">
        <f t="shared" ref="E48:E53" si="1">SUM(H48:N48)</f>
        <v>2858.4</v>
      </c>
      <c r="F48" s="165">
        <v>250</v>
      </c>
      <c r="G48" s="165">
        <f t="shared" si="0"/>
        <v>714600</v>
      </c>
      <c r="H48" s="63">
        <f>165*11</f>
        <v>1815</v>
      </c>
      <c r="I48" s="60">
        <f>111*9.4</f>
        <v>1043.4000000000001</v>
      </c>
      <c r="J48" s="42"/>
      <c r="K48" s="65"/>
      <c r="L48" s="68"/>
      <c r="M48" s="70"/>
      <c r="N48" s="51"/>
      <c r="O48" s="52"/>
      <c r="P48" s="52"/>
      <c r="Q48" s="52"/>
    </row>
    <row r="49" spans="1:17" ht="179.4" x14ac:dyDescent="0.3">
      <c r="A49" s="1">
        <v>1</v>
      </c>
      <c r="B49" s="2" t="s">
        <v>26</v>
      </c>
      <c r="C49" s="3" t="s">
        <v>27</v>
      </c>
      <c r="D49" s="163" t="s">
        <v>18</v>
      </c>
      <c r="E49" s="164">
        <f t="shared" si="1"/>
        <v>323</v>
      </c>
      <c r="F49" s="165">
        <v>150</v>
      </c>
      <c r="G49" s="165">
        <f t="shared" si="0"/>
        <v>48450</v>
      </c>
      <c r="H49" s="63">
        <v>188</v>
      </c>
      <c r="I49" s="60">
        <v>135</v>
      </c>
      <c r="J49" s="42"/>
      <c r="K49" s="65"/>
      <c r="L49" s="68"/>
      <c r="M49" s="70"/>
      <c r="N49" s="51"/>
      <c r="O49" s="52"/>
      <c r="P49" s="52"/>
      <c r="Q49" s="52"/>
    </row>
    <row r="50" spans="1:17" ht="165.6" x14ac:dyDescent="0.3">
      <c r="A50" s="1">
        <v>1</v>
      </c>
      <c r="B50" s="2" t="s">
        <v>28</v>
      </c>
      <c r="C50" s="3" t="s">
        <v>34</v>
      </c>
      <c r="D50" s="163" t="s">
        <v>29</v>
      </c>
      <c r="E50" s="164">
        <f t="shared" si="1"/>
        <v>1</v>
      </c>
      <c r="F50" s="165">
        <v>6000</v>
      </c>
      <c r="G50" s="165">
        <f t="shared" si="0"/>
        <v>6000</v>
      </c>
      <c r="H50" s="63">
        <v>1</v>
      </c>
      <c r="I50" s="60"/>
      <c r="J50" s="42"/>
      <c r="K50" s="65"/>
      <c r="L50" s="68"/>
      <c r="M50" s="70"/>
      <c r="N50" s="51"/>
      <c r="O50" s="52"/>
      <c r="P50" s="52"/>
      <c r="Q50" s="52"/>
    </row>
    <row r="51" spans="1:17" ht="234.6" x14ac:dyDescent="0.3">
      <c r="A51" s="1">
        <v>1</v>
      </c>
      <c r="B51" s="2" t="s">
        <v>30</v>
      </c>
      <c r="C51" s="3" t="s">
        <v>457</v>
      </c>
      <c r="D51" s="163" t="s">
        <v>25</v>
      </c>
      <c r="E51" s="164">
        <f t="shared" si="1"/>
        <v>801.33999999999992</v>
      </c>
      <c r="F51" s="165">
        <v>240</v>
      </c>
      <c r="G51" s="165">
        <f t="shared" si="0"/>
        <v>192321.59999999998</v>
      </c>
      <c r="H51" s="63">
        <f>329.25+12.44</f>
        <v>341.69</v>
      </c>
      <c r="I51" s="60">
        <v>459.65</v>
      </c>
      <c r="J51" s="42"/>
      <c r="K51" s="65"/>
      <c r="L51" s="68"/>
      <c r="M51" s="70"/>
      <c r="N51" s="51"/>
      <c r="O51" s="52"/>
      <c r="P51" s="52"/>
      <c r="Q51" s="52"/>
    </row>
    <row r="52" spans="1:17" ht="234.6" x14ac:dyDescent="0.3">
      <c r="A52" s="1">
        <v>1</v>
      </c>
      <c r="B52" s="2" t="s">
        <v>31</v>
      </c>
      <c r="C52" s="3" t="s">
        <v>45</v>
      </c>
      <c r="D52" s="163" t="s">
        <v>25</v>
      </c>
      <c r="E52" s="164">
        <f t="shared" si="1"/>
        <v>129.4</v>
      </c>
      <c r="F52" s="165">
        <v>210</v>
      </c>
      <c r="G52" s="165">
        <f t="shared" si="0"/>
        <v>27174</v>
      </c>
      <c r="H52" s="63">
        <v>113.25</v>
      </c>
      <c r="I52" s="60">
        <v>16.149999999999999</v>
      </c>
      <c r="J52" s="42"/>
      <c r="K52" s="65"/>
      <c r="L52" s="68"/>
      <c r="M52" s="70"/>
      <c r="N52" s="51"/>
      <c r="O52" s="52"/>
      <c r="P52" s="52"/>
      <c r="Q52" s="52"/>
    </row>
    <row r="53" spans="1:17" ht="151.80000000000001" x14ac:dyDescent="0.3">
      <c r="A53" s="1">
        <v>1</v>
      </c>
      <c r="B53" s="2" t="s">
        <v>33</v>
      </c>
      <c r="C53" s="45" t="s">
        <v>475</v>
      </c>
      <c r="D53" s="163" t="s">
        <v>25</v>
      </c>
      <c r="E53" s="164">
        <f t="shared" si="1"/>
        <v>2858.4</v>
      </c>
      <c r="F53" s="165">
        <v>50</v>
      </c>
      <c r="G53" s="165">
        <f>$E53*$F53</f>
        <v>142920</v>
      </c>
      <c r="H53" s="63">
        <v>1815</v>
      </c>
      <c r="I53" s="60">
        <v>1043.4000000000001</v>
      </c>
      <c r="J53" s="42"/>
      <c r="K53" s="65"/>
      <c r="L53" s="68"/>
      <c r="M53" s="70"/>
      <c r="N53" s="51"/>
      <c r="O53" s="52"/>
      <c r="P53" s="52"/>
      <c r="Q53" s="52"/>
    </row>
    <row r="54" spans="1:17" ht="69" customHeight="1" x14ac:dyDescent="0.3">
      <c r="A54" s="1">
        <v>1</v>
      </c>
      <c r="B54" s="2" t="s">
        <v>35</v>
      </c>
      <c r="C54" s="3" t="s">
        <v>59</v>
      </c>
      <c r="D54" s="163" t="s">
        <v>37</v>
      </c>
      <c r="E54" s="164">
        <f>SUM(H54:N54)*1.15</f>
        <v>53.51755</v>
      </c>
      <c r="F54" s="165">
        <v>800</v>
      </c>
      <c r="G54" s="165">
        <f>$E54*$F54</f>
        <v>42814.04</v>
      </c>
      <c r="H54" s="63">
        <f>H51*0.05+H52*0.05</f>
        <v>22.747000000000003</v>
      </c>
      <c r="I54" s="60">
        <f>I51*0.05+I52*0.05</f>
        <v>23.790000000000003</v>
      </c>
      <c r="J54" s="42"/>
      <c r="K54" s="65"/>
      <c r="L54" s="68"/>
      <c r="M54" s="70"/>
      <c r="N54" s="51"/>
      <c r="O54" s="52"/>
      <c r="P54" s="52"/>
      <c r="Q54" s="52"/>
    </row>
    <row r="55" spans="1:17" ht="96.6" x14ac:dyDescent="0.3">
      <c r="A55" s="1">
        <v>1</v>
      </c>
      <c r="B55" s="2" t="s">
        <v>38</v>
      </c>
      <c r="C55" s="3" t="s">
        <v>596</v>
      </c>
      <c r="D55" s="163" t="s">
        <v>37</v>
      </c>
      <c r="E55" s="164">
        <f>SUM(H55:N55)*1.15</f>
        <v>53.51755</v>
      </c>
      <c r="F55" s="165">
        <v>600</v>
      </c>
      <c r="G55" s="165">
        <f>$E55*$F55</f>
        <v>32110.53</v>
      </c>
      <c r="H55" s="63">
        <f>H51*0.05+H52*0.05</f>
        <v>22.747000000000003</v>
      </c>
      <c r="I55" s="60">
        <f>I51*0.05+I52*0.05</f>
        <v>23.790000000000003</v>
      </c>
      <c r="J55" s="42"/>
      <c r="K55" s="65"/>
      <c r="L55" s="68"/>
      <c r="M55" s="70"/>
      <c r="N55" s="51"/>
      <c r="O55" s="52"/>
      <c r="P55" s="52"/>
      <c r="Q55" s="52"/>
    </row>
    <row r="56" spans="1:17" x14ac:dyDescent="0.3">
      <c r="A56" s="28" t="s">
        <v>15</v>
      </c>
      <c r="B56" s="29"/>
      <c r="C56" s="46" t="s">
        <v>64</v>
      </c>
      <c r="D56" s="31"/>
      <c r="E56" s="32"/>
      <c r="F56" s="33"/>
      <c r="G56" s="33"/>
      <c r="H56" s="63"/>
      <c r="I56" s="60"/>
      <c r="J56" s="42"/>
      <c r="K56" s="65"/>
      <c r="L56" s="68"/>
      <c r="M56" s="70"/>
      <c r="N56" s="51"/>
      <c r="O56" s="52"/>
      <c r="P56" s="52"/>
      <c r="Q56" s="52"/>
    </row>
    <row r="57" spans="1:17" ht="234.6" x14ac:dyDescent="0.3">
      <c r="A57" s="1">
        <v>2</v>
      </c>
      <c r="B57" s="2" t="s">
        <v>8</v>
      </c>
      <c r="C57" s="45" t="s">
        <v>609</v>
      </c>
      <c r="D57" s="163" t="s">
        <v>29</v>
      </c>
      <c r="E57" s="164">
        <f>SUM(H57:N57)</f>
        <v>12</v>
      </c>
      <c r="F57" s="165">
        <v>115</v>
      </c>
      <c r="G57" s="165">
        <f t="shared" ref="G57:G58" si="2">$E57*$F57</f>
        <v>1380</v>
      </c>
      <c r="H57" s="63">
        <v>6</v>
      </c>
      <c r="I57" s="60">
        <v>6</v>
      </c>
      <c r="J57" s="42"/>
      <c r="K57" s="65"/>
      <c r="L57" s="68"/>
      <c r="M57" s="70"/>
      <c r="N57" s="51"/>
      <c r="O57" s="52">
        <v>15</v>
      </c>
      <c r="P57" s="52">
        <v>80</v>
      </c>
      <c r="Q57" s="52">
        <v>120</v>
      </c>
    </row>
    <row r="58" spans="1:17" ht="207" x14ac:dyDescent="0.3">
      <c r="A58" s="1">
        <v>2</v>
      </c>
      <c r="B58" s="2" t="s">
        <v>11</v>
      </c>
      <c r="C58" s="3" t="s">
        <v>458</v>
      </c>
      <c r="D58" s="163" t="s">
        <v>25</v>
      </c>
      <c r="E58" s="164">
        <f>SUM(H58:N58)</f>
        <v>15.44</v>
      </c>
      <c r="F58" s="165">
        <v>110</v>
      </c>
      <c r="G58" s="165">
        <f t="shared" si="2"/>
        <v>1698.3999999999999</v>
      </c>
      <c r="H58" s="63">
        <f>3+12.44</f>
        <v>15.44</v>
      </c>
      <c r="I58" s="60"/>
      <c r="J58" s="42"/>
      <c r="K58" s="65"/>
      <c r="L58" s="68"/>
      <c r="M58" s="70"/>
      <c r="N58" s="51"/>
      <c r="O58" s="52"/>
      <c r="P58" s="52">
        <v>70</v>
      </c>
      <c r="Q58" s="52">
        <v>180</v>
      </c>
    </row>
    <row r="59" spans="1:17" ht="303.60000000000002" x14ac:dyDescent="0.3">
      <c r="A59" s="1">
        <v>2</v>
      </c>
      <c r="B59" s="2" t="s">
        <v>13</v>
      </c>
      <c r="C59" s="3" t="s">
        <v>611</v>
      </c>
      <c r="D59" s="163" t="s">
        <v>25</v>
      </c>
      <c r="E59" s="164">
        <f>SUM(H59:N59)</f>
        <v>15.44</v>
      </c>
      <c r="F59" s="44">
        <v>1600</v>
      </c>
      <c r="G59" s="165">
        <f>$E59*$F59</f>
        <v>24704</v>
      </c>
      <c r="H59" s="63">
        <f>3+12.44</f>
        <v>15.44</v>
      </c>
      <c r="I59" s="60"/>
      <c r="J59" s="42"/>
      <c r="K59" s="65"/>
      <c r="L59" s="68"/>
      <c r="M59" s="70"/>
      <c r="N59" s="51"/>
      <c r="O59" s="52"/>
      <c r="P59" s="52"/>
      <c r="Q59" s="52"/>
    </row>
    <row r="60" spans="1:17" ht="124.2" x14ac:dyDescent="0.3">
      <c r="A60" s="1">
        <v>2</v>
      </c>
      <c r="B60" s="2" t="s">
        <v>26</v>
      </c>
      <c r="C60" s="45" t="s">
        <v>82</v>
      </c>
      <c r="D60" s="163" t="s">
        <v>10</v>
      </c>
      <c r="E60" s="164">
        <f>SUM(H60:N60)</f>
        <v>1</v>
      </c>
      <c r="F60" s="44">
        <v>82800</v>
      </c>
      <c r="G60" s="165">
        <f t="shared" ref="G60" si="3">$E60*$F60</f>
        <v>82800</v>
      </c>
      <c r="H60" s="63">
        <v>1</v>
      </c>
      <c r="I60" s="60"/>
      <c r="J60" s="42"/>
      <c r="K60" s="65"/>
      <c r="L60" s="68"/>
      <c r="M60" s="70"/>
      <c r="N60" s="51"/>
      <c r="O60" s="52">
        <f>15.55*3.55*1500</f>
        <v>82803.75</v>
      </c>
      <c r="P60" s="52"/>
      <c r="Q60" s="52">
        <v>18000</v>
      </c>
    </row>
    <row r="61" spans="1:17" x14ac:dyDescent="0.3">
      <c r="A61" s="28" t="s">
        <v>63</v>
      </c>
      <c r="B61" s="29"/>
      <c r="C61" s="46" t="s">
        <v>88</v>
      </c>
      <c r="D61" s="31"/>
      <c r="E61" s="32"/>
      <c r="F61" s="33"/>
      <c r="G61" s="33"/>
      <c r="H61" s="63"/>
      <c r="I61" s="60"/>
      <c r="J61" s="42"/>
      <c r="K61" s="65"/>
      <c r="L61" s="68"/>
      <c r="M61" s="70"/>
      <c r="N61" s="51"/>
      <c r="O61" s="52"/>
      <c r="P61" s="52"/>
      <c r="Q61" s="52"/>
    </row>
    <row r="62" spans="1:17" ht="207" x14ac:dyDescent="0.3">
      <c r="A62" s="1">
        <v>3</v>
      </c>
      <c r="B62" s="2" t="s">
        <v>8</v>
      </c>
      <c r="C62" s="3" t="s">
        <v>477</v>
      </c>
      <c r="D62" s="163" t="s">
        <v>25</v>
      </c>
      <c r="E62" s="164">
        <f>SUM(H62:N62)</f>
        <v>71.05</v>
      </c>
      <c r="F62" s="165">
        <v>250</v>
      </c>
      <c r="G62" s="165">
        <f>$E62*$F62</f>
        <v>17762.5</v>
      </c>
      <c r="H62" s="63">
        <v>16.399999999999999</v>
      </c>
      <c r="I62" s="60">
        <v>54.65</v>
      </c>
      <c r="J62" s="42"/>
      <c r="K62" s="65"/>
      <c r="L62" s="68"/>
      <c r="M62" s="70"/>
      <c r="N62" s="51"/>
      <c r="O62" s="52"/>
      <c r="P62" s="52">
        <f>120*1.3</f>
        <v>156</v>
      </c>
      <c r="Q62" s="52">
        <v>210</v>
      </c>
    </row>
    <row r="63" spans="1:17" ht="193.2" x14ac:dyDescent="0.3">
      <c r="A63" s="1">
        <v>3</v>
      </c>
      <c r="B63" s="2" t="s">
        <v>11</v>
      </c>
      <c r="C63" s="3" t="s">
        <v>607</v>
      </c>
      <c r="D63" s="163" t="s">
        <v>25</v>
      </c>
      <c r="E63" s="164">
        <f>SUM(H63:N63)</f>
        <v>801.33999999999992</v>
      </c>
      <c r="F63" s="165">
        <v>200</v>
      </c>
      <c r="G63" s="165">
        <f>$E63*$F63</f>
        <v>160267.99999999997</v>
      </c>
      <c r="H63" s="63">
        <f>329.25+12.44</f>
        <v>341.69</v>
      </c>
      <c r="I63" s="60">
        <v>459.65</v>
      </c>
      <c r="J63" s="42"/>
      <c r="K63" s="65"/>
      <c r="L63" s="68"/>
      <c r="M63" s="70"/>
      <c r="N63" s="51"/>
      <c r="O63" s="52"/>
      <c r="P63" s="52">
        <f>110*1.3+25</f>
        <v>168</v>
      </c>
      <c r="Q63" s="52">
        <v>200</v>
      </c>
    </row>
    <row r="64" spans="1:17" x14ac:dyDescent="0.3">
      <c r="A64" s="28" t="s">
        <v>83</v>
      </c>
      <c r="B64" s="29"/>
      <c r="C64" s="46" t="s">
        <v>98</v>
      </c>
      <c r="D64" s="31"/>
      <c r="E64" s="32"/>
      <c r="F64" s="33"/>
      <c r="G64" s="33"/>
      <c r="H64" s="63"/>
      <c r="I64" s="60"/>
      <c r="J64" s="42"/>
      <c r="K64" s="65"/>
      <c r="L64" s="68"/>
      <c r="M64" s="70"/>
      <c r="N64" s="51"/>
      <c r="O64" s="52"/>
      <c r="P64" s="52"/>
      <c r="Q64" s="52"/>
    </row>
    <row r="65" spans="1:17" ht="138" x14ac:dyDescent="0.3">
      <c r="A65" s="1">
        <v>4</v>
      </c>
      <c r="B65" s="2" t="s">
        <v>8</v>
      </c>
      <c r="C65" s="45" t="s">
        <v>604</v>
      </c>
      <c r="D65" s="163" t="s">
        <v>25</v>
      </c>
      <c r="E65" s="164">
        <f>SUM(H65:N65)</f>
        <v>129.4</v>
      </c>
      <c r="F65" s="165">
        <v>210</v>
      </c>
      <c r="G65" s="165">
        <f t="shared" ref="G65:G66" si="4">$E65*$F65</f>
        <v>27174</v>
      </c>
      <c r="H65" s="63">
        <v>113.25</v>
      </c>
      <c r="I65" s="60">
        <v>16.149999999999999</v>
      </c>
      <c r="J65" s="42"/>
      <c r="K65" s="65"/>
      <c r="L65" s="68"/>
      <c r="M65" s="70"/>
      <c r="N65" s="51"/>
      <c r="O65" s="52">
        <f>168+90</f>
        <v>258</v>
      </c>
      <c r="P65" s="52"/>
      <c r="Q65" s="52">
        <v>170</v>
      </c>
    </row>
    <row r="66" spans="1:17" ht="136.5" customHeight="1" x14ac:dyDescent="0.3">
      <c r="A66" s="1">
        <v>4</v>
      </c>
      <c r="B66" s="2" t="s">
        <v>11</v>
      </c>
      <c r="C66" s="45" t="s">
        <v>101</v>
      </c>
      <c r="D66" s="163" t="s">
        <v>25</v>
      </c>
      <c r="E66" s="164">
        <f>SUM(H66:N66)</f>
        <v>2858.4</v>
      </c>
      <c r="F66" s="44">
        <v>55</v>
      </c>
      <c r="G66" s="165">
        <f t="shared" si="4"/>
        <v>157212</v>
      </c>
      <c r="H66" s="63">
        <v>1815</v>
      </c>
      <c r="I66" s="60">
        <v>1043.4000000000001</v>
      </c>
      <c r="J66" s="42"/>
      <c r="K66" s="65"/>
      <c r="L66" s="68"/>
      <c r="M66" s="70"/>
      <c r="N66" s="51"/>
      <c r="O66" s="52">
        <f>168+90</f>
        <v>258</v>
      </c>
      <c r="P66" s="52"/>
      <c r="Q66" s="52">
        <v>170</v>
      </c>
    </row>
    <row r="67" spans="1:17" x14ac:dyDescent="0.3">
      <c r="A67" s="28" t="s">
        <v>87</v>
      </c>
      <c r="B67" s="29"/>
      <c r="C67" s="46" t="s">
        <v>106</v>
      </c>
      <c r="D67" s="31"/>
      <c r="E67" s="32"/>
      <c r="F67" s="33"/>
      <c r="G67" s="33"/>
      <c r="H67" s="63"/>
      <c r="I67" s="60"/>
      <c r="J67" s="42"/>
      <c r="K67" s="65"/>
      <c r="L67" s="68"/>
      <c r="M67" s="70"/>
      <c r="N67" s="51"/>
      <c r="O67" s="52"/>
      <c r="P67" s="52"/>
      <c r="Q67" s="52"/>
    </row>
    <row r="68" spans="1:17" ht="179.4" x14ac:dyDescent="0.3">
      <c r="A68" s="1">
        <v>5</v>
      </c>
      <c r="B68" s="2" t="s">
        <v>8</v>
      </c>
      <c r="C68" s="3" t="s">
        <v>459</v>
      </c>
      <c r="D68" s="163" t="s">
        <v>25</v>
      </c>
      <c r="E68" s="164">
        <f>SUM(H68:N68)</f>
        <v>801.33999999999992</v>
      </c>
      <c r="F68" s="165">
        <v>84</v>
      </c>
      <c r="G68" s="165">
        <f>$E68*$F68</f>
        <v>67312.56</v>
      </c>
      <c r="H68" s="63">
        <f>329.25+12.44</f>
        <v>341.69</v>
      </c>
      <c r="I68" s="60">
        <v>459.65</v>
      </c>
      <c r="J68" s="42"/>
      <c r="K68" s="65"/>
      <c r="L68" s="68"/>
      <c r="M68" s="70"/>
      <c r="N68" s="51"/>
      <c r="O68" s="52">
        <v>80</v>
      </c>
      <c r="P68" s="52"/>
      <c r="Q68" s="52">
        <v>60</v>
      </c>
    </row>
    <row r="69" spans="1:17" x14ac:dyDescent="0.3">
      <c r="A69" s="34"/>
      <c r="B69" s="74"/>
      <c r="C69" s="75"/>
      <c r="D69" s="104"/>
      <c r="E69" s="105"/>
      <c r="F69" s="93" t="s">
        <v>19</v>
      </c>
      <c r="G69" s="93">
        <f>SUM(G45:G68)</f>
        <v>1898701.6300000001</v>
      </c>
      <c r="H69" s="63"/>
      <c r="I69" s="60"/>
      <c r="J69" s="42"/>
      <c r="K69" s="65"/>
      <c r="L69" s="68"/>
      <c r="M69" s="70"/>
      <c r="N69" s="51"/>
      <c r="O69" s="52"/>
      <c r="P69" s="52"/>
      <c r="Q69" s="52"/>
    </row>
    <row r="70" spans="1:17" x14ac:dyDescent="0.3">
      <c r="A70" s="76"/>
      <c r="B70" s="35"/>
      <c r="C70" s="77"/>
      <c r="D70" s="78"/>
      <c r="E70" s="79"/>
      <c r="F70" s="93" t="s">
        <v>20</v>
      </c>
      <c r="G70" s="93">
        <f>G69*0.25</f>
        <v>474675.40750000003</v>
      </c>
      <c r="H70" s="63"/>
      <c r="I70" s="60"/>
      <c r="J70" s="42"/>
      <c r="K70" s="65"/>
      <c r="L70" s="68"/>
      <c r="M70" s="70"/>
      <c r="N70" s="51"/>
      <c r="O70" s="52"/>
      <c r="P70" s="52"/>
      <c r="Q70" s="52"/>
    </row>
    <row r="71" spans="1:17" x14ac:dyDescent="0.3">
      <c r="A71" s="76"/>
      <c r="B71" s="35"/>
      <c r="C71" s="77"/>
      <c r="D71" s="78"/>
      <c r="E71" s="79"/>
      <c r="F71" s="13" t="s">
        <v>21</v>
      </c>
      <c r="G71" s="93">
        <f>SUM(G69:G70)</f>
        <v>2373377.0375000001</v>
      </c>
      <c r="H71" s="63"/>
      <c r="I71" s="60"/>
      <c r="J71" s="42"/>
      <c r="K71" s="65"/>
      <c r="L71" s="68"/>
      <c r="M71" s="70"/>
      <c r="N71" s="51"/>
      <c r="O71" s="52"/>
      <c r="P71" s="52"/>
      <c r="Q71" s="52"/>
    </row>
    <row r="72" spans="1:17" x14ac:dyDescent="0.3">
      <c r="G72" s="169"/>
    </row>
    <row r="73" spans="1:17" x14ac:dyDescent="0.3">
      <c r="G73" s="173"/>
    </row>
    <row r="74" spans="1:17" x14ac:dyDescent="0.3">
      <c r="G74" s="173"/>
    </row>
    <row r="75" spans="1:17" x14ac:dyDescent="0.3">
      <c r="G75" s="173"/>
    </row>
  </sheetData>
  <mergeCells count="2">
    <mergeCell ref="A12:G12"/>
    <mergeCell ref="A16:G16"/>
  </mergeCells>
  <pageMargins left="0.98425196850393704" right="0.39370078740157483" top="1.1811023622047245" bottom="0.78740157480314965" header="0.39370078740157483" footer="0.39370078740157483"/>
  <pageSetup paperSize="9" scale="96" orientation="portrait" useFirstPageNumber="1" r:id="rId1"/>
  <headerFooter>
    <oddHeader>&amp;L&amp;G&amp;R&amp;G</oddHeader>
    <oddFooter xml:space="preserve">&amp;L&amp;"-,Bold"&amp;9TROŠKOVNIK &amp;A&amp;"-,Regular"     &amp;KFF0000 &amp;K000000GRAĐEVINSKI PROJEKT - PROJEKT POPRAVKA GRAĐEVINSKE KONSTRUKCIJE     GPP-13/21&amp;R&amp;"-,Bold"&amp;9&amp;P/&amp;N   </oddFooter>
  </headerFooter>
  <rowBreaks count="2" manualBreakCount="2">
    <brk id="55" max="16383" man="1"/>
    <brk id="66" max="16383"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62D5B-B8A8-49CA-9DC7-306422398EB4}">
  <sheetPr codeName="Sheet11"/>
  <dimension ref="A1:W154"/>
  <sheetViews>
    <sheetView view="pageBreakPreview" topLeftCell="A68" zoomScaleNormal="100" zoomScaleSheetLayoutView="100" zoomScalePageLayoutView="60" workbookViewId="0">
      <selection activeCell="C68" sqref="C68"/>
    </sheetView>
  </sheetViews>
  <sheetFormatPr defaultRowHeight="14.4" x14ac:dyDescent="0.3"/>
  <cols>
    <col min="1" max="1" width="3.6640625" style="8" customWidth="1"/>
    <col min="2" max="2" width="3.6640625" style="9" customWidth="1"/>
    <col min="3" max="3" width="40.6640625" style="10" customWidth="1"/>
    <col min="4" max="4" width="7.6640625" style="11" customWidth="1"/>
    <col min="5" max="5" width="8.6640625" style="12" customWidth="1"/>
    <col min="6" max="6" width="12.6640625" style="14" customWidth="1"/>
    <col min="7" max="7" width="13.6640625" style="14" customWidth="1"/>
    <col min="8" max="8" width="8.88671875" style="61" hidden="1" customWidth="1"/>
    <col min="9" max="9" width="11" style="58" hidden="1" customWidth="1"/>
    <col min="10" max="10" width="9.33203125" style="57" hidden="1" customWidth="1"/>
    <col min="11" max="11" width="8.88671875" style="96" hidden="1" customWidth="1"/>
    <col min="12" max="12" width="8.88671875" style="72" hidden="1" customWidth="1"/>
    <col min="13" max="13" width="8.88671875" style="73" hidden="1" customWidth="1"/>
    <col min="14" max="14" width="8.88671875" style="120" hidden="1" customWidth="1"/>
    <col min="15" max="15" width="12" hidden="1" customWidth="1"/>
    <col min="16" max="16" width="5" hidden="1" customWidth="1"/>
    <col min="17" max="17" width="11.33203125" hidden="1" customWidth="1"/>
    <col min="26" max="26" width="11.109375" bestFit="1" customWidth="1"/>
  </cols>
  <sheetData>
    <row r="1" spans="1:14" x14ac:dyDescent="0.3">
      <c r="K1" s="71"/>
      <c r="N1" s="55"/>
    </row>
    <row r="2" spans="1:14" x14ac:dyDescent="0.3">
      <c r="K2" s="71"/>
      <c r="N2" s="55"/>
    </row>
    <row r="3" spans="1:14" x14ac:dyDescent="0.3">
      <c r="K3" s="71"/>
      <c r="N3" s="55"/>
    </row>
    <row r="4" spans="1:14" x14ac:dyDescent="0.3">
      <c r="K4" s="71"/>
      <c r="N4" s="55"/>
    </row>
    <row r="5" spans="1:14" x14ac:dyDescent="0.3">
      <c r="K5" s="71"/>
      <c r="N5" s="55"/>
    </row>
    <row r="6" spans="1:14" x14ac:dyDescent="0.3">
      <c r="K6" s="71"/>
      <c r="N6" s="55"/>
    </row>
    <row r="7" spans="1:14" x14ac:dyDescent="0.3">
      <c r="K7" s="71"/>
      <c r="N7" s="55"/>
    </row>
    <row r="8" spans="1:14" x14ac:dyDescent="0.3">
      <c r="K8" s="71"/>
      <c r="N8" s="55"/>
    </row>
    <row r="9" spans="1:14" x14ac:dyDescent="0.3">
      <c r="K9" s="71"/>
      <c r="N9" s="55"/>
    </row>
    <row r="10" spans="1:14" x14ac:dyDescent="0.3">
      <c r="K10" s="71"/>
      <c r="N10" s="55"/>
    </row>
    <row r="11" spans="1:14" x14ac:dyDescent="0.3">
      <c r="K11" s="71"/>
      <c r="N11" s="55"/>
    </row>
    <row r="12" spans="1:14" ht="71.25" customHeight="1" x14ac:dyDescent="0.3">
      <c r="A12" s="287" t="s">
        <v>332</v>
      </c>
      <c r="B12" s="288"/>
      <c r="C12" s="288"/>
      <c r="D12" s="288"/>
      <c r="E12" s="288"/>
      <c r="F12" s="288"/>
      <c r="G12" s="288"/>
      <c r="K12" s="71"/>
      <c r="N12" s="55"/>
    </row>
    <row r="13" spans="1:14" x14ac:dyDescent="0.3">
      <c r="K13" s="71"/>
      <c r="N13" s="55"/>
    </row>
    <row r="14" spans="1:14" x14ac:dyDescent="0.3">
      <c r="K14" s="71"/>
      <c r="N14" s="55"/>
    </row>
    <row r="15" spans="1:14" x14ac:dyDescent="0.3">
      <c r="K15" s="71"/>
      <c r="N15" s="55"/>
    </row>
    <row r="16" spans="1:14" ht="59.25" customHeight="1" x14ac:dyDescent="0.3">
      <c r="A16" s="292" t="s">
        <v>310</v>
      </c>
      <c r="B16" s="289"/>
      <c r="C16" s="289"/>
      <c r="D16" s="289"/>
      <c r="E16" s="289"/>
      <c r="F16" s="289"/>
      <c r="G16" s="289"/>
      <c r="K16" s="71"/>
      <c r="N16" s="55"/>
    </row>
    <row r="43" spans="1:17" ht="27.6" x14ac:dyDescent="0.3">
      <c r="A43" s="15" t="s">
        <v>0</v>
      </c>
      <c r="B43" s="16"/>
      <c r="C43" s="17" t="s">
        <v>1</v>
      </c>
      <c r="D43" s="18" t="s">
        <v>2</v>
      </c>
      <c r="E43" s="19" t="s">
        <v>3</v>
      </c>
      <c r="F43" s="20" t="s">
        <v>4</v>
      </c>
      <c r="G43" s="21" t="s">
        <v>5</v>
      </c>
      <c r="H43" s="62"/>
      <c r="I43" s="59"/>
      <c r="J43" s="54" t="s">
        <v>112</v>
      </c>
      <c r="K43" s="97" t="s">
        <v>114</v>
      </c>
      <c r="L43" s="67" t="s">
        <v>115</v>
      </c>
      <c r="M43" s="69" t="s">
        <v>116</v>
      </c>
      <c r="N43" s="121" t="s">
        <v>113</v>
      </c>
      <c r="O43" s="52" t="s">
        <v>107</v>
      </c>
      <c r="P43" s="52" t="s">
        <v>108</v>
      </c>
      <c r="Q43" s="52" t="s">
        <v>109</v>
      </c>
    </row>
    <row r="44" spans="1:17" x14ac:dyDescent="0.3">
      <c r="A44" s="28" t="s">
        <v>6</v>
      </c>
      <c r="B44" s="29"/>
      <c r="C44" s="30" t="s">
        <v>7</v>
      </c>
      <c r="D44" s="31"/>
      <c r="E44" s="32"/>
      <c r="F44" s="33"/>
      <c r="G44" s="33"/>
    </row>
    <row r="45" spans="1:17" ht="331.2" x14ac:dyDescent="0.3">
      <c r="A45" s="1">
        <v>1</v>
      </c>
      <c r="B45" s="2" t="s">
        <v>8</v>
      </c>
      <c r="C45" s="3" t="s">
        <v>22</v>
      </c>
      <c r="D45" s="166" t="s">
        <v>10</v>
      </c>
      <c r="E45" s="167">
        <v>1</v>
      </c>
      <c r="F45" s="168">
        <f>SUM(H45:K45)</f>
        <v>6000</v>
      </c>
      <c r="G45" s="168">
        <f t="shared" ref="G45:G55" si="0">$E45*$F45</f>
        <v>6000</v>
      </c>
      <c r="H45" s="42">
        <v>6000</v>
      </c>
      <c r="I45" s="65"/>
      <c r="J45" s="68"/>
      <c r="K45" s="70"/>
      <c r="L45" s="52"/>
      <c r="M45" s="52"/>
      <c r="N45" s="52"/>
    </row>
    <row r="46" spans="1:17" ht="220.8" x14ac:dyDescent="0.3">
      <c r="A46" s="1">
        <v>1</v>
      </c>
      <c r="B46" s="2" t="s">
        <v>11</v>
      </c>
      <c r="C46" s="3" t="s">
        <v>23</v>
      </c>
      <c r="D46" s="166" t="s">
        <v>10</v>
      </c>
      <c r="E46" s="167">
        <v>1</v>
      </c>
      <c r="F46" s="168">
        <f>SUM(H46:K46)</f>
        <v>20000</v>
      </c>
      <c r="G46" s="168">
        <f t="shared" si="0"/>
        <v>20000</v>
      </c>
      <c r="H46" s="42">
        <v>20000</v>
      </c>
      <c r="I46" s="65"/>
      <c r="J46" s="68"/>
      <c r="K46" s="70"/>
      <c r="L46" s="52"/>
      <c r="M46" s="52"/>
      <c r="N46" s="52"/>
    </row>
    <row r="47" spans="1:17" ht="138" x14ac:dyDescent="0.3">
      <c r="A47" s="1">
        <v>1</v>
      </c>
      <c r="B47" s="2" t="s">
        <v>13</v>
      </c>
      <c r="C47" s="3" t="s">
        <v>24</v>
      </c>
      <c r="D47" s="166" t="s">
        <v>25</v>
      </c>
      <c r="E47" s="167">
        <f t="shared" ref="E47:E55" si="1">SUM(H47:K47)</f>
        <v>44</v>
      </c>
      <c r="F47" s="168">
        <v>250</v>
      </c>
      <c r="G47" s="168">
        <f t="shared" si="0"/>
        <v>11000</v>
      </c>
      <c r="H47" s="42">
        <f>4*11</f>
        <v>44</v>
      </c>
      <c r="I47" s="65"/>
      <c r="J47" s="68"/>
      <c r="K47" s="70"/>
      <c r="L47" s="52"/>
      <c r="M47" s="52"/>
      <c r="N47" s="52"/>
    </row>
    <row r="48" spans="1:17" ht="165.6" x14ac:dyDescent="0.3">
      <c r="A48" s="1">
        <v>1</v>
      </c>
      <c r="B48" s="2" t="s">
        <v>26</v>
      </c>
      <c r="C48" s="3" t="s">
        <v>473</v>
      </c>
      <c r="D48" s="166" t="s">
        <v>29</v>
      </c>
      <c r="E48" s="167">
        <f t="shared" si="1"/>
        <v>2</v>
      </c>
      <c r="F48" s="168">
        <v>800</v>
      </c>
      <c r="G48" s="168">
        <f t="shared" si="0"/>
        <v>1600</v>
      </c>
      <c r="H48" s="42">
        <v>2</v>
      </c>
      <c r="I48" s="65"/>
      <c r="J48" s="68"/>
      <c r="K48" s="70"/>
      <c r="L48" s="52"/>
      <c r="M48" s="52"/>
      <c r="N48" s="52"/>
    </row>
    <row r="49" spans="1:14" ht="159.75" customHeight="1" x14ac:dyDescent="0.3">
      <c r="A49" s="1">
        <v>1</v>
      </c>
      <c r="B49" s="2" t="s">
        <v>28</v>
      </c>
      <c r="C49" s="3" t="s">
        <v>456</v>
      </c>
      <c r="D49" s="166" t="s">
        <v>29</v>
      </c>
      <c r="E49" s="167">
        <f t="shared" si="1"/>
        <v>3</v>
      </c>
      <c r="F49" s="168">
        <v>500</v>
      </c>
      <c r="G49" s="168">
        <f t="shared" si="0"/>
        <v>1500</v>
      </c>
      <c r="H49" s="42">
        <v>3</v>
      </c>
      <c r="I49" s="65"/>
      <c r="J49" s="68"/>
      <c r="K49" s="70"/>
      <c r="L49" s="52"/>
      <c r="M49" s="52"/>
      <c r="N49" s="52"/>
    </row>
    <row r="50" spans="1:14" ht="118.5" customHeight="1" x14ac:dyDescent="0.3">
      <c r="A50" s="1">
        <v>1</v>
      </c>
      <c r="B50" s="2" t="s">
        <v>30</v>
      </c>
      <c r="C50" s="3" t="s">
        <v>36</v>
      </c>
      <c r="D50" s="166" t="s">
        <v>37</v>
      </c>
      <c r="E50" s="167">
        <f t="shared" si="1"/>
        <v>0.54</v>
      </c>
      <c r="F50" s="168">
        <v>1500</v>
      </c>
      <c r="G50" s="168">
        <f t="shared" si="0"/>
        <v>810</v>
      </c>
      <c r="H50" s="42">
        <v>0.54</v>
      </c>
      <c r="I50" s="65"/>
      <c r="J50" s="68"/>
      <c r="K50" s="70"/>
      <c r="L50" s="52"/>
      <c r="M50" s="52"/>
      <c r="N50" s="52"/>
    </row>
    <row r="51" spans="1:14" ht="138" customHeight="1" x14ac:dyDescent="0.3">
      <c r="A51" s="1">
        <v>1</v>
      </c>
      <c r="B51" s="2" t="s">
        <v>31</v>
      </c>
      <c r="C51" s="3" t="s">
        <v>41</v>
      </c>
      <c r="D51" s="166" t="s">
        <v>37</v>
      </c>
      <c r="E51" s="167">
        <f t="shared" si="1"/>
        <v>0.86199999999999999</v>
      </c>
      <c r="F51" s="168">
        <v>2500</v>
      </c>
      <c r="G51" s="168">
        <f t="shared" si="0"/>
        <v>2155</v>
      </c>
      <c r="H51" s="42">
        <f>0.304+0.282+0.276</f>
        <v>0.86199999999999999</v>
      </c>
      <c r="I51" s="65"/>
      <c r="J51" s="68"/>
      <c r="K51" s="70"/>
      <c r="L51" s="52"/>
      <c r="M51" s="52"/>
      <c r="N51" s="52"/>
    </row>
    <row r="52" spans="1:14" ht="234.6" x14ac:dyDescent="0.3">
      <c r="A52" s="1">
        <v>1</v>
      </c>
      <c r="B52" s="2" t="s">
        <v>33</v>
      </c>
      <c r="C52" s="3" t="s">
        <v>460</v>
      </c>
      <c r="D52" s="166" t="s">
        <v>25</v>
      </c>
      <c r="E52" s="167">
        <f t="shared" si="1"/>
        <v>191.12</v>
      </c>
      <c r="F52" s="168">
        <v>240</v>
      </c>
      <c r="G52" s="168">
        <f t="shared" si="0"/>
        <v>45868.800000000003</v>
      </c>
      <c r="H52" s="42">
        <f>47.23+23.1+42.12+6.3+43.35+23.1+1.76+2.08+2.08</f>
        <v>191.12</v>
      </c>
      <c r="I52" s="65"/>
      <c r="J52" s="68"/>
      <c r="K52" s="70"/>
      <c r="L52" s="52"/>
      <c r="M52" s="52"/>
      <c r="N52" s="52"/>
    </row>
    <row r="53" spans="1:14" ht="193.2" x14ac:dyDescent="0.3">
      <c r="A53" s="1">
        <v>1</v>
      </c>
      <c r="B53" s="2" t="s">
        <v>35</v>
      </c>
      <c r="C53" s="3" t="s">
        <v>47</v>
      </c>
      <c r="D53" s="166" t="s">
        <v>25</v>
      </c>
      <c r="E53" s="167">
        <f t="shared" si="1"/>
        <v>1.07</v>
      </c>
      <c r="F53" s="168">
        <v>1800</v>
      </c>
      <c r="G53" s="168">
        <f t="shared" si="0"/>
        <v>1926</v>
      </c>
      <c r="H53" s="42">
        <f>0.32+0.375+0.375</f>
        <v>1.07</v>
      </c>
      <c r="I53" s="65"/>
      <c r="J53" s="68"/>
      <c r="K53" s="70"/>
      <c r="L53" s="52"/>
      <c r="M53" s="52"/>
      <c r="N53" s="52"/>
    </row>
    <row r="54" spans="1:14" ht="124.2" x14ac:dyDescent="0.3">
      <c r="A54" s="1">
        <v>1</v>
      </c>
      <c r="B54" s="2" t="s">
        <v>38</v>
      </c>
      <c r="C54" s="3" t="s">
        <v>49</v>
      </c>
      <c r="D54" s="166" t="s">
        <v>37</v>
      </c>
      <c r="E54" s="167">
        <f t="shared" si="1"/>
        <v>1.7999999999999998</v>
      </c>
      <c r="F54" s="168">
        <v>2800</v>
      </c>
      <c r="G54" s="168">
        <f t="shared" si="0"/>
        <v>5039.9999999999991</v>
      </c>
      <c r="H54" s="42">
        <f>0.61+0.61+0.58</f>
        <v>1.7999999999999998</v>
      </c>
      <c r="I54" s="65"/>
      <c r="J54" s="68"/>
      <c r="K54" s="70"/>
      <c r="L54" s="52"/>
      <c r="M54" s="52"/>
      <c r="N54" s="52"/>
    </row>
    <row r="55" spans="1:14" ht="138" x14ac:dyDescent="0.3">
      <c r="A55" s="1">
        <v>1</v>
      </c>
      <c r="B55" s="2" t="s">
        <v>40</v>
      </c>
      <c r="C55" s="3" t="s">
        <v>474</v>
      </c>
      <c r="D55" s="166" t="s">
        <v>25</v>
      </c>
      <c r="E55" s="167">
        <f t="shared" si="1"/>
        <v>92.04</v>
      </c>
      <c r="F55" s="168">
        <v>80</v>
      </c>
      <c r="G55" s="168">
        <f t="shared" si="0"/>
        <v>7363.2000000000007</v>
      </c>
      <c r="H55" s="42">
        <v>92.04</v>
      </c>
      <c r="I55" s="65"/>
      <c r="J55" s="68"/>
      <c r="K55" s="70"/>
      <c r="L55" s="52"/>
      <c r="M55" s="52"/>
      <c r="N55" s="52"/>
    </row>
    <row r="56" spans="1:14" ht="71.25" customHeight="1" x14ac:dyDescent="0.3">
      <c r="A56" s="1">
        <v>1</v>
      </c>
      <c r="B56" s="2" t="s">
        <v>42</v>
      </c>
      <c r="C56" s="3" t="s">
        <v>59</v>
      </c>
      <c r="D56" s="166" t="s">
        <v>37</v>
      </c>
      <c r="E56" s="167">
        <f>SUM(H56:K56)*1.15</f>
        <v>14.893190000000001</v>
      </c>
      <c r="F56" s="168">
        <v>800</v>
      </c>
      <c r="G56" s="168">
        <f>$E56*$F56</f>
        <v>11914.552</v>
      </c>
      <c r="H56" s="42">
        <f>H50+H51+H52*0.05+H53*0.18+H54</f>
        <v>12.950600000000001</v>
      </c>
      <c r="I56" s="65"/>
      <c r="J56" s="68"/>
      <c r="K56" s="70"/>
      <c r="L56" s="52"/>
      <c r="M56" s="52"/>
      <c r="N56" s="52"/>
    </row>
    <row r="57" spans="1:14" ht="96.6" x14ac:dyDescent="0.3">
      <c r="A57" s="1">
        <v>1</v>
      </c>
      <c r="B57" s="2" t="s">
        <v>44</v>
      </c>
      <c r="C57" s="3" t="s">
        <v>596</v>
      </c>
      <c r="D57" s="166" t="s">
        <v>37</v>
      </c>
      <c r="E57" s="167">
        <f>SUM(H57:K57)*1.15</f>
        <v>14.893190000000001</v>
      </c>
      <c r="F57" s="168">
        <v>600</v>
      </c>
      <c r="G57" s="168">
        <f>$E57*$F57</f>
        <v>8935.9140000000007</v>
      </c>
      <c r="H57" s="42">
        <f>H50+H51+H52*0.05+H53*0.18+H54</f>
        <v>12.950600000000001</v>
      </c>
      <c r="I57" s="65"/>
      <c r="J57" s="68"/>
      <c r="K57" s="70"/>
      <c r="L57" s="52"/>
      <c r="M57" s="52"/>
      <c r="N57" s="52"/>
    </row>
    <row r="58" spans="1:14" ht="138" customHeight="1" x14ac:dyDescent="0.3">
      <c r="A58" s="22">
        <v>1</v>
      </c>
      <c r="B58" s="2" t="s">
        <v>46</v>
      </c>
      <c r="C58" s="24" t="s">
        <v>9</v>
      </c>
      <c r="D58" s="171" t="s">
        <v>10</v>
      </c>
      <c r="E58" s="172">
        <v>1</v>
      </c>
      <c r="F58" s="170">
        <v>1000</v>
      </c>
      <c r="G58" s="170">
        <f t="shared" ref="G58:G60" si="2">$E58*$F58</f>
        <v>1000</v>
      </c>
      <c r="H58"/>
      <c r="I58"/>
      <c r="J58"/>
      <c r="K58"/>
      <c r="L58"/>
      <c r="M58"/>
      <c r="N58"/>
    </row>
    <row r="59" spans="1:14" ht="179.4" x14ac:dyDescent="0.3">
      <c r="A59" s="1">
        <v>1</v>
      </c>
      <c r="B59" s="2" t="s">
        <v>48</v>
      </c>
      <c r="C59" s="7" t="s">
        <v>12</v>
      </c>
      <c r="D59" s="166" t="s">
        <v>10</v>
      </c>
      <c r="E59" s="167">
        <v>1</v>
      </c>
      <c r="F59" s="168">
        <v>1000</v>
      </c>
      <c r="G59" s="168">
        <f t="shared" si="2"/>
        <v>1000</v>
      </c>
      <c r="H59"/>
      <c r="I59"/>
      <c r="J59"/>
      <c r="K59"/>
      <c r="L59"/>
      <c r="M59"/>
      <c r="N59"/>
    </row>
    <row r="60" spans="1:14" ht="150" customHeight="1" x14ac:dyDescent="0.3">
      <c r="A60" s="1">
        <v>1</v>
      </c>
      <c r="B60" s="2" t="s">
        <v>50</v>
      </c>
      <c r="C60" s="7" t="s">
        <v>14</v>
      </c>
      <c r="D60" s="166" t="s">
        <v>10</v>
      </c>
      <c r="E60" s="167">
        <v>1</v>
      </c>
      <c r="F60" s="168">
        <v>1500</v>
      </c>
      <c r="G60" s="168">
        <f t="shared" si="2"/>
        <v>1500</v>
      </c>
      <c r="H60"/>
      <c r="I60"/>
      <c r="J60"/>
      <c r="K60"/>
      <c r="L60"/>
      <c r="M60"/>
      <c r="N60"/>
    </row>
    <row r="61" spans="1:14" x14ac:dyDescent="0.3">
      <c r="A61" s="28" t="s">
        <v>15</v>
      </c>
      <c r="B61" s="29"/>
      <c r="C61" s="30" t="s">
        <v>16</v>
      </c>
      <c r="D61" s="31"/>
      <c r="E61" s="32"/>
      <c r="F61" s="33"/>
      <c r="G61" s="33"/>
      <c r="H61"/>
      <c r="I61"/>
      <c r="J61"/>
      <c r="K61"/>
      <c r="L61"/>
      <c r="M61"/>
      <c r="N61"/>
    </row>
    <row r="62" spans="1:14" ht="240.75" customHeight="1" x14ac:dyDescent="0.3">
      <c r="A62" s="1">
        <v>2</v>
      </c>
      <c r="B62" s="2" t="s">
        <v>8</v>
      </c>
      <c r="C62" s="3" t="s">
        <v>17</v>
      </c>
      <c r="D62" s="166" t="s">
        <v>18</v>
      </c>
      <c r="E62" s="167">
        <v>2</v>
      </c>
      <c r="F62" s="168">
        <v>500</v>
      </c>
      <c r="G62" s="168">
        <f t="shared" ref="G62" si="3">$E62*$F62</f>
        <v>1000</v>
      </c>
      <c r="H62"/>
      <c r="I62"/>
      <c r="J62"/>
      <c r="K62"/>
      <c r="L62"/>
      <c r="M62"/>
      <c r="N62"/>
    </row>
    <row r="63" spans="1:14" x14ac:dyDescent="0.3">
      <c r="A63" s="28" t="s">
        <v>15</v>
      </c>
      <c r="B63" s="29"/>
      <c r="C63" s="46" t="s">
        <v>64</v>
      </c>
      <c r="D63" s="31"/>
      <c r="E63" s="32"/>
      <c r="F63" s="33"/>
      <c r="G63" s="33"/>
      <c r="H63" s="42"/>
      <c r="I63" s="65"/>
      <c r="J63" s="68"/>
      <c r="K63" s="70"/>
      <c r="L63" s="52"/>
      <c r="M63" s="52"/>
      <c r="N63" s="52"/>
    </row>
    <row r="64" spans="1:14" ht="193.2" x14ac:dyDescent="0.3">
      <c r="A64" s="1">
        <f>3</f>
        <v>3</v>
      </c>
      <c r="B64" s="2" t="s">
        <v>8</v>
      </c>
      <c r="C64" s="45" t="s">
        <v>442</v>
      </c>
      <c r="D64" s="166" t="s">
        <v>25</v>
      </c>
      <c r="E64" s="167">
        <f t="shared" ref="E64:E74" si="4">SUM(H64:K64)</f>
        <v>199.53</v>
      </c>
      <c r="F64" s="168">
        <v>150</v>
      </c>
      <c r="G64" s="168">
        <f t="shared" ref="G64:G74" si="5">$E64*$F64</f>
        <v>29929.5</v>
      </c>
      <c r="H64" s="42">
        <f>92.04+92.04+15.45</f>
        <v>199.53</v>
      </c>
      <c r="I64" s="65"/>
      <c r="J64" s="68"/>
      <c r="K64" s="70"/>
      <c r="L64" s="52">
        <f>170/H64</f>
        <v>0.85200220518217806</v>
      </c>
      <c r="M64" s="52">
        <v>75.5</v>
      </c>
      <c r="N64" s="52">
        <v>250</v>
      </c>
    </row>
    <row r="65" spans="1:14" ht="207" x14ac:dyDescent="0.3">
      <c r="A65" s="1">
        <f>3</f>
        <v>3</v>
      </c>
      <c r="B65" s="2" t="s">
        <v>11</v>
      </c>
      <c r="C65" s="3" t="s">
        <v>461</v>
      </c>
      <c r="D65" s="166" t="s">
        <v>25</v>
      </c>
      <c r="E65" s="167">
        <f t="shared" si="4"/>
        <v>147.60000000000002</v>
      </c>
      <c r="F65" s="168">
        <v>110</v>
      </c>
      <c r="G65" s="168">
        <f t="shared" si="5"/>
        <v>16236.000000000002</v>
      </c>
      <c r="H65" s="42">
        <f>48.4+52.28+46.92</f>
        <v>147.60000000000002</v>
      </c>
      <c r="I65" s="65"/>
      <c r="J65" s="68"/>
      <c r="K65" s="70"/>
      <c r="L65" s="52"/>
      <c r="M65" s="52">
        <v>70</v>
      </c>
      <c r="N65" s="52">
        <v>180</v>
      </c>
    </row>
    <row r="66" spans="1:14" ht="234.6" x14ac:dyDescent="0.3">
      <c r="A66" s="1">
        <f>3</f>
        <v>3</v>
      </c>
      <c r="B66" s="2" t="s">
        <v>13</v>
      </c>
      <c r="C66" s="3" t="s">
        <v>67</v>
      </c>
      <c r="D66" s="166" t="s">
        <v>25</v>
      </c>
      <c r="E66" s="167">
        <f t="shared" si="4"/>
        <v>52.5</v>
      </c>
      <c r="F66" s="168">
        <v>110</v>
      </c>
      <c r="G66" s="168">
        <f t="shared" si="5"/>
        <v>5775</v>
      </c>
      <c r="H66" s="42">
        <f>23.1+23.1+6.3</f>
        <v>52.5</v>
      </c>
      <c r="I66" s="65"/>
      <c r="J66" s="68"/>
      <c r="K66" s="70"/>
      <c r="L66" s="52"/>
      <c r="M66" s="52">
        <v>70</v>
      </c>
      <c r="N66" s="52">
        <v>220</v>
      </c>
    </row>
    <row r="67" spans="1:14" ht="276" x14ac:dyDescent="0.3">
      <c r="A67" s="1">
        <f>3</f>
        <v>3</v>
      </c>
      <c r="B67" s="2" t="s">
        <v>26</v>
      </c>
      <c r="C67" s="3" t="s">
        <v>614</v>
      </c>
      <c r="D67" s="166" t="s">
        <v>29</v>
      </c>
      <c r="E67" s="167">
        <f t="shared" si="4"/>
        <v>90</v>
      </c>
      <c r="F67" s="44">
        <v>320</v>
      </c>
      <c r="G67" s="168">
        <f>$E67*$F67</f>
        <v>28800</v>
      </c>
      <c r="H67" s="42">
        <v>90</v>
      </c>
      <c r="I67" s="65"/>
      <c r="J67" s="68"/>
      <c r="K67" s="70"/>
      <c r="L67" s="52"/>
      <c r="M67" s="52"/>
      <c r="N67" s="52"/>
    </row>
    <row r="68" spans="1:14" ht="331.2" x14ac:dyDescent="0.3">
      <c r="A68" s="1">
        <f>3</f>
        <v>3</v>
      </c>
      <c r="B68" s="2" t="s">
        <v>28</v>
      </c>
      <c r="C68" s="3" t="s">
        <v>612</v>
      </c>
      <c r="D68" s="166" t="s">
        <v>25</v>
      </c>
      <c r="E68" s="167">
        <f t="shared" si="4"/>
        <v>147.60000000000002</v>
      </c>
      <c r="F68" s="44">
        <v>1600</v>
      </c>
      <c r="G68" s="168">
        <f>$E68*$F68</f>
        <v>236160.00000000003</v>
      </c>
      <c r="H68" s="42">
        <f>48.4+52.28+46.92</f>
        <v>147.60000000000002</v>
      </c>
      <c r="I68" s="65"/>
      <c r="J68" s="68"/>
      <c r="K68" s="70"/>
      <c r="L68" s="52"/>
      <c r="M68" s="52"/>
      <c r="N68" s="52"/>
    </row>
    <row r="69" spans="1:14" ht="220.8" x14ac:dyDescent="0.3">
      <c r="A69" s="1">
        <f>3</f>
        <v>3</v>
      </c>
      <c r="B69" s="2" t="s">
        <v>30</v>
      </c>
      <c r="C69" s="3" t="s">
        <v>615</v>
      </c>
      <c r="D69" s="166" t="s">
        <v>18</v>
      </c>
      <c r="E69" s="167">
        <f t="shared" si="4"/>
        <v>170</v>
      </c>
      <c r="F69" s="44">
        <v>1200</v>
      </c>
      <c r="G69" s="168">
        <f t="shared" si="5"/>
        <v>204000</v>
      </c>
      <c r="H69" s="42">
        <f>74.8+74.8+20.4</f>
        <v>170</v>
      </c>
      <c r="I69" s="65"/>
      <c r="J69" s="68"/>
      <c r="K69" s="70"/>
      <c r="L69" s="52"/>
      <c r="M69" s="52"/>
      <c r="N69" s="52"/>
    </row>
    <row r="70" spans="1:14" ht="179.4" x14ac:dyDescent="0.3">
      <c r="A70" s="1">
        <f>3</f>
        <v>3</v>
      </c>
      <c r="B70" s="2" t="s">
        <v>31</v>
      </c>
      <c r="C70" s="3" t="s">
        <v>600</v>
      </c>
      <c r="D70" s="166" t="s">
        <v>29</v>
      </c>
      <c r="E70" s="167">
        <f t="shared" si="4"/>
        <v>556</v>
      </c>
      <c r="F70" s="44">
        <v>15</v>
      </c>
      <c r="G70" s="168">
        <f t="shared" si="5"/>
        <v>8340</v>
      </c>
      <c r="H70" s="42">
        <v>556</v>
      </c>
      <c r="I70" s="65"/>
      <c r="J70" s="68"/>
      <c r="K70" s="70"/>
      <c r="L70" s="52"/>
      <c r="M70" s="52"/>
      <c r="N70" s="52"/>
    </row>
    <row r="71" spans="1:14" ht="124.2" x14ac:dyDescent="0.3">
      <c r="A71" s="1">
        <f>3</f>
        <v>3</v>
      </c>
      <c r="B71" s="2" t="s">
        <v>33</v>
      </c>
      <c r="C71" s="3" t="s">
        <v>449</v>
      </c>
      <c r="D71" s="166" t="s">
        <v>18</v>
      </c>
      <c r="E71" s="167">
        <f t="shared" si="4"/>
        <v>27.2</v>
      </c>
      <c r="F71" s="168">
        <v>1850</v>
      </c>
      <c r="G71" s="168">
        <f t="shared" si="5"/>
        <v>50320</v>
      </c>
      <c r="H71" s="42">
        <v>27.2</v>
      </c>
      <c r="I71" s="65"/>
      <c r="J71" s="68"/>
      <c r="K71" s="70"/>
      <c r="L71" s="52"/>
      <c r="M71" s="52"/>
      <c r="N71" s="52"/>
    </row>
    <row r="72" spans="1:14" ht="193.2" x14ac:dyDescent="0.3">
      <c r="A72" s="1">
        <f>3</f>
        <v>3</v>
      </c>
      <c r="B72" s="2" t="s">
        <v>35</v>
      </c>
      <c r="C72" s="3" t="s">
        <v>462</v>
      </c>
      <c r="D72" s="166" t="s">
        <v>71</v>
      </c>
      <c r="E72" s="167">
        <f t="shared" si="4"/>
        <v>606.49</v>
      </c>
      <c r="F72" s="168">
        <v>12</v>
      </c>
      <c r="G72" s="168">
        <f t="shared" si="5"/>
        <v>7277.88</v>
      </c>
      <c r="H72" s="42">
        <v>606.49</v>
      </c>
      <c r="I72" s="65"/>
      <c r="J72" s="68"/>
      <c r="K72" s="70"/>
      <c r="L72" s="52">
        <f>5*1.3</f>
        <v>6.5</v>
      </c>
      <c r="M72" s="52">
        <f>14*1.3</f>
        <v>18.2</v>
      </c>
      <c r="N72" s="52">
        <v>12</v>
      </c>
    </row>
    <row r="73" spans="1:14" ht="110.25" customHeight="1" x14ac:dyDescent="0.3">
      <c r="A73" s="1">
        <f>3</f>
        <v>3</v>
      </c>
      <c r="B73" s="2" t="s">
        <v>38</v>
      </c>
      <c r="C73" s="3" t="s">
        <v>73</v>
      </c>
      <c r="D73" s="166" t="s">
        <v>25</v>
      </c>
      <c r="E73" s="167">
        <f t="shared" si="4"/>
        <v>29.119999999999997</v>
      </c>
      <c r="F73" s="168">
        <v>250</v>
      </c>
      <c r="G73" s="168">
        <f t="shared" si="5"/>
        <v>7279.9999999999991</v>
      </c>
      <c r="H73" s="42">
        <f>6.72+11.2+11.2</f>
        <v>29.119999999999997</v>
      </c>
      <c r="I73" s="65"/>
      <c r="J73" s="68"/>
      <c r="K73" s="70"/>
      <c r="L73" s="52">
        <f>20*1.3</f>
        <v>26</v>
      </c>
      <c r="M73" s="52">
        <f>130*1.3</f>
        <v>169</v>
      </c>
      <c r="N73" s="52">
        <v>250</v>
      </c>
    </row>
    <row r="74" spans="1:14" ht="146.25" customHeight="1" x14ac:dyDescent="0.3">
      <c r="A74" s="1">
        <f>3</f>
        <v>3</v>
      </c>
      <c r="B74" s="2" t="s">
        <v>40</v>
      </c>
      <c r="C74" s="3" t="s">
        <v>75</v>
      </c>
      <c r="D74" s="166" t="s">
        <v>37</v>
      </c>
      <c r="E74" s="167">
        <f t="shared" si="4"/>
        <v>2.9120000000000004</v>
      </c>
      <c r="F74" s="168">
        <v>1450</v>
      </c>
      <c r="G74" s="168">
        <f t="shared" si="5"/>
        <v>4222.4000000000005</v>
      </c>
      <c r="H74" s="42">
        <f>0.672+1.12+1.12</f>
        <v>2.9120000000000004</v>
      </c>
      <c r="I74" s="65"/>
      <c r="J74" s="68"/>
      <c r="K74" s="70"/>
      <c r="L74" s="52">
        <f>570*1.3</f>
        <v>741</v>
      </c>
      <c r="M74" s="52">
        <f>200*1.3</f>
        <v>260</v>
      </c>
      <c r="N74" s="52">
        <v>1800</v>
      </c>
    </row>
    <row r="75" spans="1:14" x14ac:dyDescent="0.3">
      <c r="A75" s="28" t="s">
        <v>83</v>
      </c>
      <c r="B75" s="29"/>
      <c r="C75" s="46" t="s">
        <v>84</v>
      </c>
      <c r="D75" s="31"/>
      <c r="E75" s="32"/>
      <c r="F75" s="33"/>
      <c r="G75" s="33"/>
      <c r="H75" s="42"/>
      <c r="I75" s="65"/>
      <c r="J75" s="68"/>
      <c r="K75" s="70"/>
      <c r="L75" s="52"/>
      <c r="M75" s="52"/>
      <c r="N75" s="52"/>
    </row>
    <row r="76" spans="1:14" ht="151.80000000000001" x14ac:dyDescent="0.3">
      <c r="A76" s="1">
        <v>4</v>
      </c>
      <c r="B76" s="2" t="s">
        <v>8</v>
      </c>
      <c r="C76" s="3" t="s">
        <v>476</v>
      </c>
      <c r="D76" s="166" t="s">
        <v>25</v>
      </c>
      <c r="E76" s="167">
        <f>SUM(H76:K76)</f>
        <v>15</v>
      </c>
      <c r="F76" s="168">
        <v>216</v>
      </c>
      <c r="G76" s="168">
        <f>$E76*$F76</f>
        <v>3240</v>
      </c>
      <c r="H76" s="42">
        <f>5.1+5.1+4.8</f>
        <v>15</v>
      </c>
      <c r="I76" s="65"/>
      <c r="J76" s="68"/>
      <c r="K76" s="70"/>
      <c r="L76" s="52">
        <f>100*1.3+200*1.3+2*1.3+50*1.3</f>
        <v>457.6</v>
      </c>
      <c r="M76" s="52"/>
      <c r="N76" s="52">
        <v>90</v>
      </c>
    </row>
    <row r="77" spans="1:14" x14ac:dyDescent="0.3">
      <c r="A77" s="28" t="s">
        <v>87</v>
      </c>
      <c r="B77" s="29"/>
      <c r="C77" s="46" t="s">
        <v>88</v>
      </c>
      <c r="D77" s="31"/>
      <c r="E77" s="32"/>
      <c r="F77" s="33"/>
      <c r="G77" s="33"/>
      <c r="H77" s="42"/>
      <c r="I77" s="65"/>
      <c r="J77" s="68"/>
      <c r="K77" s="70"/>
      <c r="L77" s="52"/>
      <c r="M77" s="52"/>
      <c r="N77" s="52"/>
    </row>
    <row r="78" spans="1:14" ht="179.4" x14ac:dyDescent="0.3">
      <c r="A78" s="1">
        <v>5</v>
      </c>
      <c r="B78" s="2" t="s">
        <v>8</v>
      </c>
      <c r="C78" s="3" t="s">
        <v>605</v>
      </c>
      <c r="D78" s="166" t="s">
        <v>25</v>
      </c>
      <c r="E78" s="167">
        <f>SUM(H78:K78)</f>
        <v>146.57</v>
      </c>
      <c r="F78" s="168">
        <v>200</v>
      </c>
      <c r="G78" s="168">
        <f>$E78*$F78</f>
        <v>29314</v>
      </c>
      <c r="H78" s="42">
        <f>46.18+50.34+50.05</f>
        <v>146.57</v>
      </c>
      <c r="I78" s="65"/>
      <c r="J78" s="68"/>
      <c r="K78" s="70"/>
      <c r="L78" s="52"/>
      <c r="M78" s="52">
        <f>110*1.3+25</f>
        <v>168</v>
      </c>
      <c r="N78" s="52">
        <v>200</v>
      </c>
    </row>
    <row r="79" spans="1:14" ht="165.6" x14ac:dyDescent="0.3">
      <c r="A79" s="1">
        <v>5</v>
      </c>
      <c r="B79" s="2" t="s">
        <v>11</v>
      </c>
      <c r="C79" s="3" t="s">
        <v>90</v>
      </c>
      <c r="D79" s="166" t="s">
        <v>25</v>
      </c>
      <c r="E79" s="167">
        <f>SUM(H79:K79)</f>
        <v>199.52</v>
      </c>
      <c r="F79" s="168">
        <f>M79</f>
        <v>429</v>
      </c>
      <c r="G79" s="168">
        <f>$E79*$F79</f>
        <v>85594.08</v>
      </c>
      <c r="H79" s="42">
        <f>92.04+92.04+15.44</f>
        <v>199.52</v>
      </c>
      <c r="I79" s="65"/>
      <c r="J79" s="68"/>
      <c r="K79" s="70"/>
      <c r="L79" s="52"/>
      <c r="M79" s="52">
        <f>330*1.3</f>
        <v>429</v>
      </c>
      <c r="N79" s="52">
        <v>380</v>
      </c>
    </row>
    <row r="80" spans="1:14" ht="151.80000000000001" x14ac:dyDescent="0.3">
      <c r="A80" s="1">
        <v>5</v>
      </c>
      <c r="B80" s="2" t="s">
        <v>13</v>
      </c>
      <c r="C80" s="3" t="s">
        <v>452</v>
      </c>
      <c r="D80" s="166" t="s">
        <v>25</v>
      </c>
      <c r="E80" s="167">
        <f>SUM(H80:K80)</f>
        <v>8.6199999999999992</v>
      </c>
      <c r="F80" s="168">
        <f>L80</f>
        <v>221</v>
      </c>
      <c r="G80" s="168">
        <f>$E80*$F80</f>
        <v>1905.0199999999998</v>
      </c>
      <c r="H80" s="42">
        <f>3.04+2.76+2.82</f>
        <v>8.6199999999999992</v>
      </c>
      <c r="I80" s="65"/>
      <c r="J80" s="68"/>
      <c r="K80" s="70"/>
      <c r="L80" s="52">
        <f>170*1.3</f>
        <v>221</v>
      </c>
      <c r="M80" s="52"/>
      <c r="N80" s="52">
        <v>200</v>
      </c>
    </row>
    <row r="81" spans="1:23" x14ac:dyDescent="0.3">
      <c r="A81" s="28" t="s">
        <v>94</v>
      </c>
      <c r="B81" s="29"/>
      <c r="C81" s="46" t="s">
        <v>118</v>
      </c>
      <c r="D81" s="31"/>
      <c r="E81" s="32"/>
      <c r="F81" s="33"/>
      <c r="G81" s="33"/>
      <c r="H81" s="42"/>
      <c r="I81" s="65"/>
      <c r="J81" s="68"/>
      <c r="K81" s="70"/>
      <c r="L81" s="52"/>
      <c r="M81" s="52"/>
      <c r="N81" s="52"/>
    </row>
    <row r="82" spans="1:23" s="52" customFormat="1" ht="99.75" customHeight="1" x14ac:dyDescent="0.3">
      <c r="A82" s="1">
        <v>6</v>
      </c>
      <c r="B82" s="2" t="s">
        <v>8</v>
      </c>
      <c r="C82" s="80" t="s">
        <v>119</v>
      </c>
      <c r="D82" s="166" t="s">
        <v>10</v>
      </c>
      <c r="E82" s="167">
        <f t="shared" ref="E82:E111" si="6">SUM(H82:K82)</f>
        <v>1</v>
      </c>
      <c r="F82" s="168">
        <v>1500</v>
      </c>
      <c r="G82" s="168">
        <f t="shared" ref="G82:G111" si="7">E82*F82</f>
        <v>1500</v>
      </c>
      <c r="H82" s="41"/>
      <c r="I82" s="42"/>
      <c r="J82" s="68">
        <v>1</v>
      </c>
      <c r="W82" s="14"/>
    </row>
    <row r="83" spans="1:23" s="52" customFormat="1" ht="134.25" customHeight="1" x14ac:dyDescent="0.3">
      <c r="A83" s="1">
        <v>6</v>
      </c>
      <c r="B83" s="2" t="s">
        <v>11</v>
      </c>
      <c r="C83" s="80" t="s">
        <v>120</v>
      </c>
      <c r="D83" s="166" t="s">
        <v>29</v>
      </c>
      <c r="E83" s="167">
        <f t="shared" si="6"/>
        <v>3</v>
      </c>
      <c r="F83" s="168">
        <v>350</v>
      </c>
      <c r="G83" s="168">
        <f t="shared" si="7"/>
        <v>1050</v>
      </c>
      <c r="H83" s="41"/>
      <c r="I83" s="42"/>
      <c r="J83" s="68">
        <v>3</v>
      </c>
    </row>
    <row r="84" spans="1:23" s="52" customFormat="1" ht="93" customHeight="1" x14ac:dyDescent="0.3">
      <c r="A84" s="1">
        <v>6</v>
      </c>
      <c r="B84" s="2" t="s">
        <v>13</v>
      </c>
      <c r="C84" s="80" t="s">
        <v>121</v>
      </c>
      <c r="D84" s="166" t="s">
        <v>10</v>
      </c>
      <c r="E84" s="167">
        <f t="shared" si="6"/>
        <v>1</v>
      </c>
      <c r="F84" s="168">
        <v>1400</v>
      </c>
      <c r="G84" s="168">
        <f t="shared" si="7"/>
        <v>1400</v>
      </c>
      <c r="H84" s="41"/>
      <c r="I84" s="42"/>
      <c r="J84" s="68">
        <v>1</v>
      </c>
    </row>
    <row r="85" spans="1:23" s="52" customFormat="1" ht="96.6" x14ac:dyDescent="0.3">
      <c r="A85" s="1">
        <v>6</v>
      </c>
      <c r="B85" s="2" t="s">
        <v>26</v>
      </c>
      <c r="C85" s="80" t="s">
        <v>616</v>
      </c>
      <c r="D85" s="166" t="s">
        <v>29</v>
      </c>
      <c r="E85" s="167">
        <f t="shared" si="6"/>
        <v>2</v>
      </c>
      <c r="F85" s="168">
        <v>750</v>
      </c>
      <c r="G85" s="168">
        <f t="shared" si="7"/>
        <v>1500</v>
      </c>
      <c r="H85" s="41"/>
      <c r="I85" s="42"/>
      <c r="J85" s="68">
        <v>2</v>
      </c>
    </row>
    <row r="86" spans="1:23" s="52" customFormat="1" ht="178.5" customHeight="1" x14ac:dyDescent="0.3">
      <c r="A86" s="1">
        <v>6</v>
      </c>
      <c r="B86" s="2" t="s">
        <v>28</v>
      </c>
      <c r="C86" s="80" t="s">
        <v>124</v>
      </c>
      <c r="D86" s="166" t="s">
        <v>29</v>
      </c>
      <c r="E86" s="167">
        <f t="shared" si="6"/>
        <v>2</v>
      </c>
      <c r="F86" s="168">
        <v>200</v>
      </c>
      <c r="G86" s="168">
        <f t="shared" si="7"/>
        <v>400</v>
      </c>
      <c r="H86" s="41"/>
      <c r="I86" s="42"/>
      <c r="J86" s="68">
        <v>2</v>
      </c>
    </row>
    <row r="87" spans="1:23" s="52" customFormat="1" ht="82.5" customHeight="1" x14ac:dyDescent="0.3">
      <c r="A87" s="1">
        <v>6</v>
      </c>
      <c r="B87" s="2" t="s">
        <v>30</v>
      </c>
      <c r="C87" s="80" t="s">
        <v>125</v>
      </c>
      <c r="D87" s="166" t="s">
        <v>29</v>
      </c>
      <c r="E87" s="167">
        <f t="shared" si="6"/>
        <v>2</v>
      </c>
      <c r="F87" s="168">
        <v>150</v>
      </c>
      <c r="G87" s="168">
        <f t="shared" si="7"/>
        <v>300</v>
      </c>
      <c r="H87" s="41"/>
      <c r="I87" s="42"/>
      <c r="J87" s="68">
        <v>2</v>
      </c>
    </row>
    <row r="88" spans="1:23" s="52" customFormat="1" ht="110.4" x14ac:dyDescent="0.3">
      <c r="A88" s="1">
        <v>6</v>
      </c>
      <c r="B88" s="2" t="s">
        <v>31</v>
      </c>
      <c r="C88" s="80" t="s">
        <v>480</v>
      </c>
      <c r="D88" s="166" t="s">
        <v>29</v>
      </c>
      <c r="E88" s="167">
        <f t="shared" si="6"/>
        <v>2</v>
      </c>
      <c r="F88" s="168">
        <v>100</v>
      </c>
      <c r="G88" s="168">
        <f t="shared" si="7"/>
        <v>200</v>
      </c>
      <c r="H88" s="41"/>
      <c r="I88" s="42"/>
      <c r="J88" s="68">
        <v>2</v>
      </c>
    </row>
    <row r="89" spans="1:23" s="52" customFormat="1" ht="82.8" x14ac:dyDescent="0.3">
      <c r="A89" s="1">
        <v>6</v>
      </c>
      <c r="B89" s="2" t="s">
        <v>33</v>
      </c>
      <c r="C89" s="80" t="s">
        <v>127</v>
      </c>
      <c r="D89" s="166" t="s">
        <v>29</v>
      </c>
      <c r="E89" s="167">
        <f t="shared" si="6"/>
        <v>1</v>
      </c>
      <c r="F89" s="168">
        <v>15</v>
      </c>
      <c r="G89" s="168">
        <f t="shared" si="7"/>
        <v>15</v>
      </c>
      <c r="H89" s="41"/>
      <c r="I89" s="42"/>
      <c r="J89" s="68">
        <v>1</v>
      </c>
    </row>
    <row r="90" spans="1:23" s="52" customFormat="1" ht="85.5" customHeight="1" x14ac:dyDescent="0.3">
      <c r="A90" s="1">
        <v>6</v>
      </c>
      <c r="B90" s="2" t="s">
        <v>35</v>
      </c>
      <c r="C90" s="80" t="s">
        <v>128</v>
      </c>
      <c r="D90" s="166" t="s">
        <v>18</v>
      </c>
      <c r="E90" s="167">
        <f t="shared" si="6"/>
        <v>1</v>
      </c>
      <c r="F90" s="168">
        <v>50</v>
      </c>
      <c r="G90" s="168">
        <f t="shared" si="7"/>
        <v>50</v>
      </c>
      <c r="H90" s="41"/>
      <c r="I90" s="42"/>
      <c r="J90" s="68">
        <v>1</v>
      </c>
    </row>
    <row r="91" spans="1:23" s="52" customFormat="1" ht="84" customHeight="1" x14ac:dyDescent="0.3">
      <c r="A91" s="1">
        <v>6</v>
      </c>
      <c r="B91" s="2" t="s">
        <v>38</v>
      </c>
      <c r="C91" s="80" t="s">
        <v>129</v>
      </c>
      <c r="D91" s="166" t="s">
        <v>18</v>
      </c>
      <c r="E91" s="167">
        <f t="shared" si="6"/>
        <v>20</v>
      </c>
      <c r="F91" s="168">
        <v>40</v>
      </c>
      <c r="G91" s="168">
        <f t="shared" si="7"/>
        <v>800</v>
      </c>
      <c r="H91" s="41"/>
      <c r="I91" s="42"/>
      <c r="J91" s="68">
        <v>20</v>
      </c>
    </row>
    <row r="92" spans="1:23" s="52" customFormat="1" ht="87" customHeight="1" x14ac:dyDescent="0.3">
      <c r="A92" s="1">
        <v>6</v>
      </c>
      <c r="B92" s="2" t="s">
        <v>40</v>
      </c>
      <c r="C92" s="80" t="s">
        <v>130</v>
      </c>
      <c r="D92" s="166" t="s">
        <v>10</v>
      </c>
      <c r="E92" s="167">
        <f t="shared" si="6"/>
        <v>1</v>
      </c>
      <c r="F92" s="168">
        <v>1500</v>
      </c>
      <c r="G92" s="168">
        <f t="shared" si="7"/>
        <v>1500</v>
      </c>
      <c r="H92" s="41"/>
      <c r="I92" s="42"/>
      <c r="J92" s="68">
        <v>1</v>
      </c>
    </row>
    <row r="93" spans="1:23" s="52" customFormat="1" ht="98.25" customHeight="1" x14ac:dyDescent="0.3">
      <c r="A93" s="1">
        <v>6</v>
      </c>
      <c r="B93" s="2" t="s">
        <v>42</v>
      </c>
      <c r="C93" s="80" t="s">
        <v>481</v>
      </c>
      <c r="D93" s="166" t="s">
        <v>18</v>
      </c>
      <c r="E93" s="167">
        <f t="shared" si="6"/>
        <v>2</v>
      </c>
      <c r="F93" s="168">
        <v>30</v>
      </c>
      <c r="G93" s="168">
        <f t="shared" si="7"/>
        <v>60</v>
      </c>
      <c r="H93" s="41"/>
      <c r="I93" s="42"/>
      <c r="J93" s="68">
        <v>2</v>
      </c>
    </row>
    <row r="94" spans="1:23" s="52" customFormat="1" ht="83.25" customHeight="1" x14ac:dyDescent="0.3">
      <c r="A94" s="1">
        <v>6</v>
      </c>
      <c r="B94" s="2" t="s">
        <v>44</v>
      </c>
      <c r="C94" s="80" t="s">
        <v>132</v>
      </c>
      <c r="D94" s="166" t="s">
        <v>10</v>
      </c>
      <c r="E94" s="167">
        <f t="shared" si="6"/>
        <v>1</v>
      </c>
      <c r="F94" s="168">
        <v>425</v>
      </c>
      <c r="G94" s="168">
        <f t="shared" si="7"/>
        <v>425</v>
      </c>
      <c r="H94" s="41"/>
      <c r="I94" s="42"/>
      <c r="J94" s="68">
        <v>1</v>
      </c>
    </row>
    <row r="95" spans="1:23" s="52" customFormat="1" ht="82.8" x14ac:dyDescent="0.3">
      <c r="A95" s="1">
        <v>6</v>
      </c>
      <c r="B95" s="2" t="s">
        <v>46</v>
      </c>
      <c r="C95" s="80" t="s">
        <v>133</v>
      </c>
      <c r="D95" s="166" t="s">
        <v>10</v>
      </c>
      <c r="E95" s="167">
        <f t="shared" si="6"/>
        <v>1</v>
      </c>
      <c r="F95" s="168">
        <v>200</v>
      </c>
      <c r="G95" s="168">
        <f t="shared" si="7"/>
        <v>200</v>
      </c>
      <c r="H95" s="41"/>
      <c r="I95" s="42"/>
      <c r="J95" s="68">
        <v>1</v>
      </c>
    </row>
    <row r="96" spans="1:23" s="52" customFormat="1" ht="110.4" x14ac:dyDescent="0.3">
      <c r="A96" s="1">
        <v>6</v>
      </c>
      <c r="B96" s="2" t="s">
        <v>48</v>
      </c>
      <c r="C96" s="80" t="s">
        <v>482</v>
      </c>
      <c r="D96" s="166" t="s">
        <v>10</v>
      </c>
      <c r="E96" s="167">
        <f t="shared" si="6"/>
        <v>3</v>
      </c>
      <c r="F96" s="168">
        <v>400</v>
      </c>
      <c r="G96" s="168">
        <f t="shared" si="7"/>
        <v>1200</v>
      </c>
      <c r="H96" s="41"/>
      <c r="I96" s="42"/>
      <c r="J96" s="68">
        <v>3</v>
      </c>
    </row>
    <row r="97" spans="1:13" s="52" customFormat="1" ht="96.6" x14ac:dyDescent="0.3">
      <c r="A97" s="1">
        <v>6</v>
      </c>
      <c r="B97" s="2" t="s">
        <v>50</v>
      </c>
      <c r="C97" s="80" t="s">
        <v>483</v>
      </c>
      <c r="D97" s="166" t="s">
        <v>10</v>
      </c>
      <c r="E97" s="167">
        <f t="shared" si="6"/>
        <v>2</v>
      </c>
      <c r="F97" s="168">
        <v>700</v>
      </c>
      <c r="G97" s="168">
        <f t="shared" si="7"/>
        <v>1400</v>
      </c>
      <c r="H97" s="41"/>
      <c r="I97" s="42"/>
      <c r="J97" s="68">
        <v>2</v>
      </c>
    </row>
    <row r="98" spans="1:13" s="52" customFormat="1" ht="193.2" x14ac:dyDescent="0.3">
      <c r="A98" s="1">
        <v>6</v>
      </c>
      <c r="B98" s="2" t="s">
        <v>51</v>
      </c>
      <c r="C98" s="80" t="s">
        <v>484</v>
      </c>
      <c r="D98" s="166" t="s">
        <v>10</v>
      </c>
      <c r="E98" s="167">
        <f t="shared" si="6"/>
        <v>1</v>
      </c>
      <c r="F98" s="168">
        <v>5500</v>
      </c>
      <c r="G98" s="168">
        <f t="shared" si="7"/>
        <v>5500</v>
      </c>
      <c r="H98" s="41"/>
      <c r="I98" s="42"/>
      <c r="J98" s="68">
        <v>1</v>
      </c>
    </row>
    <row r="99" spans="1:13" s="52" customFormat="1" ht="57" customHeight="1" x14ac:dyDescent="0.3">
      <c r="A99" s="1">
        <v>6</v>
      </c>
      <c r="B99" s="2" t="s">
        <v>53</v>
      </c>
      <c r="C99" s="80" t="s">
        <v>485</v>
      </c>
      <c r="D99" s="166" t="s">
        <v>10</v>
      </c>
      <c r="E99" s="167">
        <f t="shared" si="6"/>
        <v>1</v>
      </c>
      <c r="F99" s="168">
        <v>2000</v>
      </c>
      <c r="G99" s="168">
        <f t="shared" si="7"/>
        <v>2000</v>
      </c>
      <c r="H99" s="41"/>
      <c r="I99" s="42"/>
      <c r="J99" s="68">
        <v>1</v>
      </c>
      <c r="M99" s="14"/>
    </row>
    <row r="100" spans="1:13" s="52" customFormat="1" ht="98.25" customHeight="1" x14ac:dyDescent="0.3">
      <c r="A100" s="1">
        <v>6</v>
      </c>
      <c r="B100" s="2" t="s">
        <v>55</v>
      </c>
      <c r="C100" s="80" t="s">
        <v>221</v>
      </c>
      <c r="D100" s="166" t="s">
        <v>10</v>
      </c>
      <c r="E100" s="167">
        <f t="shared" si="6"/>
        <v>1</v>
      </c>
      <c r="F100" s="168">
        <v>2100</v>
      </c>
      <c r="G100" s="168">
        <f t="shared" si="7"/>
        <v>2100</v>
      </c>
      <c r="H100" s="41"/>
      <c r="I100" s="65">
        <v>1</v>
      </c>
      <c r="J100" s="43"/>
      <c r="M100" s="14"/>
    </row>
    <row r="101" spans="1:13" s="52" customFormat="1" ht="121.5" customHeight="1" x14ac:dyDescent="0.3">
      <c r="A101" s="1">
        <v>6</v>
      </c>
      <c r="B101" s="2" t="s">
        <v>57</v>
      </c>
      <c r="C101" s="80" t="s">
        <v>220</v>
      </c>
      <c r="D101" s="166" t="s">
        <v>29</v>
      </c>
      <c r="E101" s="167">
        <f t="shared" si="6"/>
        <v>3</v>
      </c>
      <c r="F101" s="168">
        <v>80</v>
      </c>
      <c r="G101" s="168">
        <f t="shared" si="7"/>
        <v>240</v>
      </c>
      <c r="H101" s="41"/>
      <c r="I101" s="65">
        <v>3</v>
      </c>
      <c r="J101" s="43"/>
      <c r="M101" s="14"/>
    </row>
    <row r="102" spans="1:13" s="52" customFormat="1" ht="125.25" customHeight="1" x14ac:dyDescent="0.3">
      <c r="A102" s="1">
        <v>6</v>
      </c>
      <c r="B102" s="2" t="s">
        <v>58</v>
      </c>
      <c r="C102" s="80" t="s">
        <v>219</v>
      </c>
      <c r="D102" s="166" t="s">
        <v>29</v>
      </c>
      <c r="E102" s="167">
        <f t="shared" si="6"/>
        <v>2</v>
      </c>
      <c r="F102" s="168">
        <v>90</v>
      </c>
      <c r="G102" s="168">
        <f t="shared" si="7"/>
        <v>180</v>
      </c>
      <c r="H102" s="41"/>
      <c r="I102" s="65">
        <v>2</v>
      </c>
      <c r="J102" s="43"/>
      <c r="M102" s="14"/>
    </row>
    <row r="103" spans="1:13" s="52" customFormat="1" ht="124.2" x14ac:dyDescent="0.3">
      <c r="A103" s="1">
        <v>6</v>
      </c>
      <c r="B103" s="2" t="s">
        <v>60</v>
      </c>
      <c r="C103" s="80" t="s">
        <v>217</v>
      </c>
      <c r="D103" s="166" t="s">
        <v>29</v>
      </c>
      <c r="E103" s="167">
        <f t="shared" si="6"/>
        <v>1</v>
      </c>
      <c r="F103" s="168">
        <v>90</v>
      </c>
      <c r="G103" s="168">
        <f t="shared" si="7"/>
        <v>90</v>
      </c>
      <c r="H103" s="41"/>
      <c r="I103" s="65">
        <v>1</v>
      </c>
      <c r="J103" s="43"/>
      <c r="M103" s="14"/>
    </row>
    <row r="104" spans="1:13" s="52" customFormat="1" ht="107.25" customHeight="1" x14ac:dyDescent="0.3">
      <c r="A104" s="1">
        <v>6</v>
      </c>
      <c r="B104" s="2" t="s">
        <v>77</v>
      </c>
      <c r="C104" s="80" t="s">
        <v>215</v>
      </c>
      <c r="D104" s="166" t="s">
        <v>18</v>
      </c>
      <c r="E104" s="167">
        <f t="shared" si="6"/>
        <v>8</v>
      </c>
      <c r="F104" s="168">
        <v>30</v>
      </c>
      <c r="G104" s="168">
        <f t="shared" si="7"/>
        <v>240</v>
      </c>
      <c r="H104" s="41"/>
      <c r="I104" s="65">
        <v>8</v>
      </c>
      <c r="J104" s="43"/>
      <c r="M104" s="14"/>
    </row>
    <row r="105" spans="1:13" s="52" customFormat="1" ht="98.25" customHeight="1" x14ac:dyDescent="0.3">
      <c r="A105" s="1">
        <v>6</v>
      </c>
      <c r="B105" s="2" t="s">
        <v>78</v>
      </c>
      <c r="C105" s="80" t="s">
        <v>213</v>
      </c>
      <c r="D105" s="166" t="s">
        <v>29</v>
      </c>
      <c r="E105" s="167">
        <f t="shared" si="6"/>
        <v>1</v>
      </c>
      <c r="F105" s="168">
        <v>80</v>
      </c>
      <c r="G105" s="168">
        <f t="shared" si="7"/>
        <v>80</v>
      </c>
      <c r="H105" s="41"/>
      <c r="I105" s="65">
        <v>1</v>
      </c>
      <c r="J105" s="43"/>
      <c r="M105" s="14"/>
    </row>
    <row r="106" spans="1:13" s="52" customFormat="1" ht="121.5" customHeight="1" x14ac:dyDescent="0.3">
      <c r="A106" s="1">
        <v>6</v>
      </c>
      <c r="B106" s="2" t="s">
        <v>79</v>
      </c>
      <c r="C106" s="80" t="s">
        <v>211</v>
      </c>
      <c r="D106" s="166" t="s">
        <v>29</v>
      </c>
      <c r="E106" s="167">
        <f t="shared" si="6"/>
        <v>3</v>
      </c>
      <c r="F106" s="168">
        <v>350</v>
      </c>
      <c r="G106" s="168">
        <f t="shared" si="7"/>
        <v>1050</v>
      </c>
      <c r="H106" s="41"/>
      <c r="I106" s="65">
        <v>3</v>
      </c>
      <c r="J106" s="43"/>
      <c r="M106" s="14"/>
    </row>
    <row r="107" spans="1:13" s="52" customFormat="1" ht="112.5" customHeight="1" x14ac:dyDescent="0.3">
      <c r="A107" s="1">
        <v>6</v>
      </c>
      <c r="B107" s="2" t="s">
        <v>81</v>
      </c>
      <c r="C107" s="80" t="s">
        <v>209</v>
      </c>
      <c r="D107" s="166" t="s">
        <v>29</v>
      </c>
      <c r="E107" s="167">
        <f t="shared" si="6"/>
        <v>2</v>
      </c>
      <c r="F107" s="168">
        <v>350</v>
      </c>
      <c r="G107" s="168">
        <f t="shared" si="7"/>
        <v>700</v>
      </c>
      <c r="H107" s="41"/>
      <c r="I107" s="65">
        <v>2</v>
      </c>
      <c r="J107" s="43"/>
      <c r="M107" s="14"/>
    </row>
    <row r="108" spans="1:13" s="52" customFormat="1" ht="109.5" customHeight="1" x14ac:dyDescent="0.3">
      <c r="A108" s="1">
        <v>6</v>
      </c>
      <c r="B108" s="2" t="s">
        <v>218</v>
      </c>
      <c r="C108" s="80" t="s">
        <v>207</v>
      </c>
      <c r="D108" s="166" t="s">
        <v>29</v>
      </c>
      <c r="E108" s="167">
        <f t="shared" si="6"/>
        <v>1</v>
      </c>
      <c r="F108" s="168">
        <v>350</v>
      </c>
      <c r="G108" s="168">
        <f t="shared" si="7"/>
        <v>350</v>
      </c>
      <c r="H108" s="41"/>
      <c r="I108" s="65">
        <v>1</v>
      </c>
      <c r="J108" s="43"/>
      <c r="M108" s="14"/>
    </row>
    <row r="109" spans="1:13" s="52" customFormat="1" ht="138" x14ac:dyDescent="0.3">
      <c r="A109" s="1">
        <v>6</v>
      </c>
      <c r="B109" s="2" t="s">
        <v>216</v>
      </c>
      <c r="C109" s="80" t="s">
        <v>618</v>
      </c>
      <c r="D109" s="166" t="s">
        <v>29</v>
      </c>
      <c r="E109" s="167">
        <f t="shared" si="6"/>
        <v>8</v>
      </c>
      <c r="F109" s="168">
        <v>400</v>
      </c>
      <c r="G109" s="168">
        <f t="shared" si="7"/>
        <v>3200</v>
      </c>
      <c r="H109" s="41"/>
      <c r="I109" s="65">
        <v>8</v>
      </c>
      <c r="J109" s="43"/>
      <c r="M109" s="14"/>
    </row>
    <row r="110" spans="1:13" s="52" customFormat="1" ht="96.6" x14ac:dyDescent="0.3">
      <c r="A110" s="1">
        <v>6</v>
      </c>
      <c r="B110" s="2" t="s">
        <v>214</v>
      </c>
      <c r="C110" s="80" t="s">
        <v>204</v>
      </c>
      <c r="D110" s="166" t="s">
        <v>29</v>
      </c>
      <c r="E110" s="167">
        <f t="shared" si="6"/>
        <v>1</v>
      </c>
      <c r="F110" s="168">
        <v>120</v>
      </c>
      <c r="G110" s="168">
        <f t="shared" si="7"/>
        <v>120</v>
      </c>
      <c r="H110" s="41"/>
      <c r="I110" s="65">
        <v>1</v>
      </c>
      <c r="J110" s="43"/>
      <c r="M110" s="14"/>
    </row>
    <row r="111" spans="1:13" s="52" customFormat="1" ht="264.75" customHeight="1" x14ac:dyDescent="0.3">
      <c r="A111" s="174">
        <v>6</v>
      </c>
      <c r="B111" s="159" t="s">
        <v>212</v>
      </c>
      <c r="C111" s="142" t="s">
        <v>202</v>
      </c>
      <c r="D111" s="175" t="s">
        <v>10</v>
      </c>
      <c r="E111" s="176">
        <f t="shared" si="6"/>
        <v>1</v>
      </c>
      <c r="F111" s="177">
        <v>35000</v>
      </c>
      <c r="G111" s="177">
        <f t="shared" si="7"/>
        <v>35000</v>
      </c>
      <c r="H111" s="41"/>
      <c r="I111" s="305">
        <v>1</v>
      </c>
      <c r="J111" s="43"/>
      <c r="M111" s="14"/>
    </row>
    <row r="112" spans="1:13" s="52" customFormat="1" ht="253.5" customHeight="1" x14ac:dyDescent="0.3">
      <c r="A112" s="155"/>
      <c r="B112" s="155"/>
      <c r="C112" s="143" t="s">
        <v>201</v>
      </c>
      <c r="D112" s="144"/>
      <c r="E112" s="145"/>
      <c r="F112" s="146"/>
      <c r="G112" s="146"/>
      <c r="H112" s="41"/>
      <c r="I112" s="305"/>
      <c r="J112" s="43"/>
      <c r="M112" s="14"/>
    </row>
    <row r="113" spans="1:13" s="52" customFormat="1" ht="102" customHeight="1" x14ac:dyDescent="0.3">
      <c r="A113" s="1">
        <v>6</v>
      </c>
      <c r="B113" s="2" t="s">
        <v>210</v>
      </c>
      <c r="C113" s="80" t="s">
        <v>199</v>
      </c>
      <c r="D113" s="166" t="s">
        <v>10</v>
      </c>
      <c r="E113" s="167">
        <f t="shared" ref="E113:E124" si="8">SUM(H113:K113)</f>
        <v>1</v>
      </c>
      <c r="F113" s="168">
        <v>2100</v>
      </c>
      <c r="G113" s="168">
        <f t="shared" ref="G113:G124" si="9">E113*F113</f>
        <v>2100</v>
      </c>
      <c r="H113" s="41"/>
      <c r="I113" s="65">
        <v>1</v>
      </c>
      <c r="J113" s="43"/>
      <c r="M113" s="14"/>
    </row>
    <row r="114" spans="1:13" s="52" customFormat="1" ht="126" customHeight="1" x14ac:dyDescent="0.3">
      <c r="A114" s="1">
        <v>6</v>
      </c>
      <c r="B114" s="2" t="s">
        <v>208</v>
      </c>
      <c r="C114" s="80" t="s">
        <v>197</v>
      </c>
      <c r="D114" s="166" t="s">
        <v>29</v>
      </c>
      <c r="E114" s="167">
        <f t="shared" si="8"/>
        <v>3</v>
      </c>
      <c r="F114" s="168">
        <v>80</v>
      </c>
      <c r="G114" s="168">
        <f t="shared" si="9"/>
        <v>240</v>
      </c>
      <c r="H114" s="41"/>
      <c r="I114" s="65">
        <v>3</v>
      </c>
      <c r="J114" s="43"/>
      <c r="M114" s="14"/>
    </row>
    <row r="115" spans="1:13" s="52" customFormat="1" ht="126.75" customHeight="1" x14ac:dyDescent="0.3">
      <c r="A115" s="1">
        <v>6</v>
      </c>
      <c r="B115" s="2" t="s">
        <v>206</v>
      </c>
      <c r="C115" s="80" t="s">
        <v>195</v>
      </c>
      <c r="D115" s="166" t="s">
        <v>29</v>
      </c>
      <c r="E115" s="167">
        <f t="shared" si="8"/>
        <v>2</v>
      </c>
      <c r="F115" s="168">
        <v>90</v>
      </c>
      <c r="G115" s="168">
        <f t="shared" si="9"/>
        <v>180</v>
      </c>
      <c r="H115" s="41"/>
      <c r="I115" s="65">
        <v>2</v>
      </c>
      <c r="J115" s="43"/>
      <c r="M115" s="14"/>
    </row>
    <row r="116" spans="1:13" s="52" customFormat="1" ht="125.25" customHeight="1" x14ac:dyDescent="0.3">
      <c r="A116" s="1">
        <v>6</v>
      </c>
      <c r="B116" s="2" t="s">
        <v>205</v>
      </c>
      <c r="C116" s="80" t="s">
        <v>193</v>
      </c>
      <c r="D116" s="166" t="s">
        <v>29</v>
      </c>
      <c r="E116" s="167">
        <f t="shared" si="8"/>
        <v>1</v>
      </c>
      <c r="F116" s="168">
        <v>90</v>
      </c>
      <c r="G116" s="168">
        <f t="shared" si="9"/>
        <v>90</v>
      </c>
      <c r="H116" s="41"/>
      <c r="I116" s="65">
        <v>1</v>
      </c>
      <c r="J116" s="43"/>
      <c r="M116" s="14"/>
    </row>
    <row r="117" spans="1:13" s="52" customFormat="1" ht="112.5" customHeight="1" x14ac:dyDescent="0.3">
      <c r="A117" s="1">
        <v>6</v>
      </c>
      <c r="B117" s="2" t="s">
        <v>203</v>
      </c>
      <c r="C117" s="80" t="s">
        <v>191</v>
      </c>
      <c r="D117" s="166" t="s">
        <v>18</v>
      </c>
      <c r="E117" s="167">
        <f t="shared" si="8"/>
        <v>8</v>
      </c>
      <c r="F117" s="168">
        <v>30</v>
      </c>
      <c r="G117" s="168">
        <f t="shared" si="9"/>
        <v>240</v>
      </c>
      <c r="H117" s="41"/>
      <c r="I117" s="65">
        <v>8</v>
      </c>
      <c r="J117" s="43"/>
      <c r="M117" s="14"/>
    </row>
    <row r="118" spans="1:13" s="52" customFormat="1" ht="99.75" customHeight="1" x14ac:dyDescent="0.3">
      <c r="A118" s="1">
        <v>6</v>
      </c>
      <c r="B118" s="2" t="s">
        <v>200</v>
      </c>
      <c r="C118" s="80" t="s">
        <v>189</v>
      </c>
      <c r="D118" s="166" t="s">
        <v>29</v>
      </c>
      <c r="E118" s="167">
        <f t="shared" si="8"/>
        <v>1</v>
      </c>
      <c r="F118" s="168">
        <v>80</v>
      </c>
      <c r="G118" s="168">
        <f t="shared" si="9"/>
        <v>80</v>
      </c>
      <c r="H118" s="41"/>
      <c r="I118" s="65">
        <v>1</v>
      </c>
      <c r="J118" s="43"/>
      <c r="M118" s="14"/>
    </row>
    <row r="119" spans="1:13" s="52" customFormat="1" ht="126.75" customHeight="1" x14ac:dyDescent="0.3">
      <c r="A119" s="1">
        <v>6</v>
      </c>
      <c r="B119" s="2" t="s">
        <v>198</v>
      </c>
      <c r="C119" s="80" t="s">
        <v>187</v>
      </c>
      <c r="D119" s="166" t="s">
        <v>29</v>
      </c>
      <c r="E119" s="167">
        <f t="shared" si="8"/>
        <v>3</v>
      </c>
      <c r="F119" s="168">
        <v>350</v>
      </c>
      <c r="G119" s="168">
        <f t="shared" si="9"/>
        <v>1050</v>
      </c>
      <c r="H119" s="41"/>
      <c r="I119" s="65">
        <v>3</v>
      </c>
      <c r="J119" s="43"/>
      <c r="M119" s="14"/>
    </row>
    <row r="120" spans="1:13" s="52" customFormat="1" ht="114" customHeight="1" x14ac:dyDescent="0.3">
      <c r="A120" s="1">
        <v>6</v>
      </c>
      <c r="B120" s="2" t="s">
        <v>196</v>
      </c>
      <c r="C120" s="80" t="s">
        <v>185</v>
      </c>
      <c r="D120" s="166" t="s">
        <v>29</v>
      </c>
      <c r="E120" s="167">
        <f t="shared" si="8"/>
        <v>2</v>
      </c>
      <c r="F120" s="168">
        <v>350</v>
      </c>
      <c r="G120" s="168">
        <f t="shared" si="9"/>
        <v>700</v>
      </c>
      <c r="H120" s="41"/>
      <c r="I120" s="65">
        <v>2</v>
      </c>
      <c r="J120" s="43"/>
      <c r="M120" s="14"/>
    </row>
    <row r="121" spans="1:13" s="52" customFormat="1" ht="110.4" x14ac:dyDescent="0.3">
      <c r="A121" s="1">
        <v>6</v>
      </c>
      <c r="B121" s="2" t="s">
        <v>194</v>
      </c>
      <c r="C121" s="80" t="s">
        <v>183</v>
      </c>
      <c r="D121" s="166" t="s">
        <v>29</v>
      </c>
      <c r="E121" s="167">
        <f t="shared" si="8"/>
        <v>1</v>
      </c>
      <c r="F121" s="168">
        <v>350</v>
      </c>
      <c r="G121" s="168">
        <f t="shared" si="9"/>
        <v>350</v>
      </c>
      <c r="H121" s="41"/>
      <c r="I121" s="65">
        <v>1</v>
      </c>
      <c r="J121" s="43"/>
      <c r="M121" s="14"/>
    </row>
    <row r="122" spans="1:13" s="52" customFormat="1" ht="96.6" x14ac:dyDescent="0.3">
      <c r="A122" s="1">
        <v>6</v>
      </c>
      <c r="B122" s="2" t="s">
        <v>192</v>
      </c>
      <c r="C122" s="80" t="s">
        <v>181</v>
      </c>
      <c r="D122" s="166" t="s">
        <v>29</v>
      </c>
      <c r="E122" s="167">
        <f t="shared" si="8"/>
        <v>1</v>
      </c>
      <c r="F122" s="168">
        <v>120</v>
      </c>
      <c r="G122" s="168">
        <f t="shared" si="9"/>
        <v>120</v>
      </c>
      <c r="H122" s="41"/>
      <c r="I122" s="65">
        <v>1</v>
      </c>
      <c r="J122" s="43"/>
      <c r="M122" s="14"/>
    </row>
    <row r="123" spans="1:13" s="52" customFormat="1" ht="141" customHeight="1" x14ac:dyDescent="0.3">
      <c r="A123" s="1">
        <v>6</v>
      </c>
      <c r="B123" s="2" t="s">
        <v>190</v>
      </c>
      <c r="C123" s="80" t="s">
        <v>617</v>
      </c>
      <c r="D123" s="166" t="s">
        <v>29</v>
      </c>
      <c r="E123" s="167">
        <f t="shared" si="8"/>
        <v>8</v>
      </c>
      <c r="F123" s="168">
        <v>400</v>
      </c>
      <c r="G123" s="168">
        <f t="shared" si="9"/>
        <v>3200</v>
      </c>
      <c r="H123" s="41"/>
      <c r="I123" s="65">
        <v>8</v>
      </c>
      <c r="J123" s="43"/>
      <c r="M123" s="14"/>
    </row>
    <row r="124" spans="1:13" s="52" customFormat="1" ht="234" customHeight="1" x14ac:dyDescent="0.3">
      <c r="A124" s="174">
        <v>6</v>
      </c>
      <c r="B124" s="174" t="s">
        <v>188</v>
      </c>
      <c r="C124" s="142" t="s">
        <v>177</v>
      </c>
      <c r="D124" s="175" t="s">
        <v>10</v>
      </c>
      <c r="E124" s="176">
        <f t="shared" si="8"/>
        <v>1</v>
      </c>
      <c r="F124" s="177">
        <v>36000</v>
      </c>
      <c r="G124" s="177">
        <f t="shared" si="9"/>
        <v>36000</v>
      </c>
      <c r="H124" s="41"/>
      <c r="I124" s="178">
        <v>1</v>
      </c>
      <c r="J124" s="43"/>
      <c r="M124" s="14"/>
    </row>
    <row r="125" spans="1:13" s="52" customFormat="1" ht="252" customHeight="1" x14ac:dyDescent="0.3">
      <c r="A125" s="155"/>
      <c r="B125" s="155"/>
      <c r="C125" s="143" t="s">
        <v>176</v>
      </c>
      <c r="D125" s="144"/>
      <c r="E125" s="145"/>
      <c r="F125" s="146"/>
      <c r="G125" s="146"/>
      <c r="H125" s="41"/>
      <c r="I125" s="178"/>
      <c r="J125" s="43"/>
      <c r="M125" s="14"/>
    </row>
    <row r="126" spans="1:13" s="52" customFormat="1" ht="98.25" customHeight="1" x14ac:dyDescent="0.3">
      <c r="A126" s="1">
        <v>6</v>
      </c>
      <c r="B126" s="2" t="s">
        <v>186</v>
      </c>
      <c r="C126" s="80" t="s">
        <v>174</v>
      </c>
      <c r="D126" s="166" t="s">
        <v>10</v>
      </c>
      <c r="E126" s="167">
        <f t="shared" ref="E126:E144" si="10">SUM(H126:K126)</f>
        <v>1</v>
      </c>
      <c r="F126" s="168">
        <v>2100</v>
      </c>
      <c r="G126" s="168">
        <f t="shared" ref="G126:G144" si="11">E126*F126</f>
        <v>2100</v>
      </c>
      <c r="H126" s="41"/>
      <c r="I126" s="65">
        <v>1</v>
      </c>
      <c r="J126" s="43"/>
      <c r="M126" s="14"/>
    </row>
    <row r="127" spans="1:13" s="52" customFormat="1" ht="124.2" x14ac:dyDescent="0.3">
      <c r="A127" s="1">
        <v>6</v>
      </c>
      <c r="B127" s="2" t="s">
        <v>184</v>
      </c>
      <c r="C127" s="80" t="s">
        <v>172</v>
      </c>
      <c r="D127" s="166" t="s">
        <v>29</v>
      </c>
      <c r="E127" s="167">
        <f t="shared" si="10"/>
        <v>16</v>
      </c>
      <c r="F127" s="168">
        <v>80</v>
      </c>
      <c r="G127" s="168">
        <f t="shared" si="11"/>
        <v>1280</v>
      </c>
      <c r="H127" s="41"/>
      <c r="I127" s="65">
        <v>16</v>
      </c>
      <c r="J127" s="43"/>
      <c r="M127" s="14"/>
    </row>
    <row r="128" spans="1:13" s="52" customFormat="1" ht="124.2" x14ac:dyDescent="0.3">
      <c r="A128" s="1">
        <v>6</v>
      </c>
      <c r="B128" s="2" t="s">
        <v>182</v>
      </c>
      <c r="C128" s="80" t="s">
        <v>170</v>
      </c>
      <c r="D128" s="166" t="s">
        <v>29</v>
      </c>
      <c r="E128" s="167">
        <f t="shared" si="10"/>
        <v>8</v>
      </c>
      <c r="F128" s="168">
        <v>90</v>
      </c>
      <c r="G128" s="168">
        <f t="shared" si="11"/>
        <v>720</v>
      </c>
      <c r="H128" s="41"/>
      <c r="I128" s="65">
        <v>8</v>
      </c>
      <c r="J128" s="43"/>
      <c r="M128" s="14"/>
    </row>
    <row r="129" spans="1:13" s="52" customFormat="1" ht="96.6" x14ac:dyDescent="0.3">
      <c r="A129" s="1">
        <v>6</v>
      </c>
      <c r="B129" s="2" t="s">
        <v>180</v>
      </c>
      <c r="C129" s="80" t="s">
        <v>168</v>
      </c>
      <c r="D129" s="166" t="s">
        <v>29</v>
      </c>
      <c r="E129" s="167">
        <f t="shared" si="10"/>
        <v>7</v>
      </c>
      <c r="F129" s="168">
        <v>80</v>
      </c>
      <c r="G129" s="168">
        <f t="shared" si="11"/>
        <v>560</v>
      </c>
      <c r="H129" s="41"/>
      <c r="I129" s="65">
        <v>7</v>
      </c>
      <c r="J129" s="43"/>
      <c r="M129" s="14"/>
    </row>
    <row r="130" spans="1:13" s="52" customFormat="1" ht="124.2" x14ac:dyDescent="0.3">
      <c r="A130" s="1">
        <v>6</v>
      </c>
      <c r="B130" s="2" t="s">
        <v>178</v>
      </c>
      <c r="C130" s="80" t="s">
        <v>166</v>
      </c>
      <c r="D130" s="166" t="s">
        <v>29</v>
      </c>
      <c r="E130" s="167">
        <f t="shared" si="10"/>
        <v>16</v>
      </c>
      <c r="F130" s="168">
        <v>350</v>
      </c>
      <c r="G130" s="168">
        <f t="shared" si="11"/>
        <v>5600</v>
      </c>
      <c r="H130" s="41"/>
      <c r="I130" s="65">
        <v>16</v>
      </c>
      <c r="J130" s="43"/>
      <c r="M130" s="14"/>
    </row>
    <row r="131" spans="1:13" s="52" customFormat="1" ht="111.75" customHeight="1" x14ac:dyDescent="0.3">
      <c r="A131" s="1">
        <v>6</v>
      </c>
      <c r="B131" s="2" t="s">
        <v>175</v>
      </c>
      <c r="C131" s="80" t="s">
        <v>164</v>
      </c>
      <c r="D131" s="166" t="s">
        <v>29</v>
      </c>
      <c r="E131" s="167">
        <f t="shared" si="10"/>
        <v>8</v>
      </c>
      <c r="F131" s="168">
        <v>350</v>
      </c>
      <c r="G131" s="168">
        <f t="shared" si="11"/>
        <v>2800</v>
      </c>
      <c r="H131" s="41"/>
      <c r="I131" s="65">
        <v>8</v>
      </c>
      <c r="J131" s="43"/>
      <c r="M131" s="14"/>
    </row>
    <row r="132" spans="1:13" s="52" customFormat="1" ht="96.6" x14ac:dyDescent="0.3">
      <c r="A132" s="1">
        <v>6</v>
      </c>
      <c r="B132" s="2" t="s">
        <v>173</v>
      </c>
      <c r="C132" s="80" t="s">
        <v>162</v>
      </c>
      <c r="D132" s="166" t="s">
        <v>29</v>
      </c>
      <c r="E132" s="167">
        <f t="shared" si="10"/>
        <v>1</v>
      </c>
      <c r="F132" s="168">
        <v>120</v>
      </c>
      <c r="G132" s="168">
        <f t="shared" si="11"/>
        <v>120</v>
      </c>
      <c r="H132" s="41"/>
      <c r="I132" s="65">
        <v>1</v>
      </c>
      <c r="J132" s="43"/>
      <c r="M132" s="14"/>
    </row>
    <row r="133" spans="1:13" s="52" customFormat="1" ht="110.4" x14ac:dyDescent="0.3">
      <c r="A133" s="1">
        <v>6</v>
      </c>
      <c r="B133" s="2" t="s">
        <v>171</v>
      </c>
      <c r="C133" s="80" t="s">
        <v>160</v>
      </c>
      <c r="D133" s="166" t="s">
        <v>29</v>
      </c>
      <c r="E133" s="167">
        <f t="shared" si="10"/>
        <v>7</v>
      </c>
      <c r="F133" s="168">
        <v>120</v>
      </c>
      <c r="G133" s="168">
        <f t="shared" si="11"/>
        <v>840</v>
      </c>
      <c r="H133" s="41"/>
      <c r="I133" s="65">
        <v>7</v>
      </c>
      <c r="J133" s="43"/>
      <c r="M133" s="14"/>
    </row>
    <row r="134" spans="1:13" s="52" customFormat="1" ht="307.5" customHeight="1" x14ac:dyDescent="0.3">
      <c r="A134" s="1">
        <v>6</v>
      </c>
      <c r="B134" s="2" t="s">
        <v>169</v>
      </c>
      <c r="C134" s="80" t="s">
        <v>443</v>
      </c>
      <c r="D134" s="166" t="s">
        <v>10</v>
      </c>
      <c r="E134" s="167">
        <f t="shared" si="10"/>
        <v>1</v>
      </c>
      <c r="F134" s="168">
        <v>8000</v>
      </c>
      <c r="G134" s="168">
        <f t="shared" si="11"/>
        <v>8000</v>
      </c>
      <c r="H134" s="41"/>
      <c r="I134" s="65">
        <v>1</v>
      </c>
      <c r="J134" s="43"/>
      <c r="M134" s="14"/>
    </row>
    <row r="135" spans="1:13" s="52" customFormat="1" ht="35.25" customHeight="1" x14ac:dyDescent="0.3">
      <c r="A135" s="1">
        <v>6</v>
      </c>
      <c r="B135" s="2" t="s">
        <v>167</v>
      </c>
      <c r="C135" s="80" t="s">
        <v>390</v>
      </c>
      <c r="D135" s="166" t="s">
        <v>29</v>
      </c>
      <c r="E135" s="167">
        <f t="shared" si="10"/>
        <v>52</v>
      </c>
      <c r="F135" s="168">
        <v>50</v>
      </c>
      <c r="G135" s="168">
        <f t="shared" si="11"/>
        <v>2600</v>
      </c>
      <c r="H135" s="41"/>
      <c r="I135" s="65">
        <v>52</v>
      </c>
      <c r="J135" s="43"/>
      <c r="M135" s="14"/>
    </row>
    <row r="136" spans="1:13" s="52" customFormat="1" ht="62.25" customHeight="1" x14ac:dyDescent="0.3">
      <c r="A136" s="1">
        <v>6</v>
      </c>
      <c r="B136" s="2" t="s">
        <v>165</v>
      </c>
      <c r="C136" s="80" t="s">
        <v>391</v>
      </c>
      <c r="D136" s="166" t="s">
        <v>29</v>
      </c>
      <c r="E136" s="167">
        <f t="shared" si="10"/>
        <v>52</v>
      </c>
      <c r="F136" s="168">
        <v>210</v>
      </c>
      <c r="G136" s="168">
        <f t="shared" si="11"/>
        <v>10920</v>
      </c>
      <c r="H136" s="41"/>
      <c r="I136" s="65">
        <v>52</v>
      </c>
      <c r="J136" s="43"/>
      <c r="M136" s="14"/>
    </row>
    <row r="137" spans="1:13" s="52" customFormat="1" ht="165.6" x14ac:dyDescent="0.3">
      <c r="A137" s="1">
        <v>6</v>
      </c>
      <c r="B137" s="2" t="s">
        <v>163</v>
      </c>
      <c r="C137" s="80" t="s">
        <v>620</v>
      </c>
      <c r="D137" s="166" t="s">
        <v>10</v>
      </c>
      <c r="E137" s="167">
        <f t="shared" si="10"/>
        <v>1</v>
      </c>
      <c r="F137" s="168">
        <v>4500</v>
      </c>
      <c r="G137" s="168">
        <f t="shared" si="11"/>
        <v>4500</v>
      </c>
      <c r="H137" s="41"/>
      <c r="I137" s="65">
        <v>1</v>
      </c>
      <c r="J137" s="43"/>
      <c r="M137" s="14"/>
    </row>
    <row r="138" spans="1:13" s="52" customFormat="1" ht="48" customHeight="1" x14ac:dyDescent="0.3">
      <c r="A138" s="1">
        <v>6</v>
      </c>
      <c r="B138" s="2" t="s">
        <v>161</v>
      </c>
      <c r="C138" s="80" t="s">
        <v>394</v>
      </c>
      <c r="D138" s="166" t="s">
        <v>10</v>
      </c>
      <c r="E138" s="167">
        <f t="shared" si="10"/>
        <v>3</v>
      </c>
      <c r="F138" s="168">
        <v>500</v>
      </c>
      <c r="G138" s="168">
        <f t="shared" si="11"/>
        <v>1500</v>
      </c>
      <c r="H138" s="41"/>
      <c r="I138" s="65">
        <v>3</v>
      </c>
      <c r="J138" s="43"/>
      <c r="M138" s="14"/>
    </row>
    <row r="139" spans="1:13" s="52" customFormat="1" ht="110.4" x14ac:dyDescent="0.3">
      <c r="A139" s="1">
        <v>6</v>
      </c>
      <c r="B139" s="2" t="s">
        <v>159</v>
      </c>
      <c r="C139" s="80" t="s">
        <v>296</v>
      </c>
      <c r="D139" s="166" t="s">
        <v>10</v>
      </c>
      <c r="E139" s="167">
        <f t="shared" si="10"/>
        <v>1</v>
      </c>
      <c r="F139" s="168">
        <v>5000</v>
      </c>
      <c r="G139" s="168">
        <f t="shared" si="11"/>
        <v>5000</v>
      </c>
      <c r="H139" s="41"/>
      <c r="I139" s="65">
        <v>1</v>
      </c>
      <c r="J139" s="43"/>
      <c r="M139" s="14"/>
    </row>
    <row r="140" spans="1:13" s="52" customFormat="1" ht="96.6" x14ac:dyDescent="0.3">
      <c r="A140" s="1">
        <v>6</v>
      </c>
      <c r="B140" s="2" t="s">
        <v>222</v>
      </c>
      <c r="C140" s="80" t="s">
        <v>297</v>
      </c>
      <c r="D140" s="166" t="s">
        <v>10</v>
      </c>
      <c r="E140" s="167">
        <f t="shared" si="10"/>
        <v>1</v>
      </c>
      <c r="F140" s="168">
        <v>1300</v>
      </c>
      <c r="G140" s="168">
        <f t="shared" si="11"/>
        <v>1300</v>
      </c>
      <c r="H140" s="41"/>
      <c r="I140" s="65">
        <v>1</v>
      </c>
      <c r="J140" s="43"/>
      <c r="M140" s="14"/>
    </row>
    <row r="141" spans="1:13" s="52" customFormat="1" ht="72.75" customHeight="1" x14ac:dyDescent="0.3">
      <c r="A141" s="1">
        <v>6</v>
      </c>
      <c r="B141" s="2" t="s">
        <v>223</v>
      </c>
      <c r="C141" s="80" t="s">
        <v>298</v>
      </c>
      <c r="D141" s="166" t="s">
        <v>10</v>
      </c>
      <c r="E141" s="167">
        <f t="shared" si="10"/>
        <v>1</v>
      </c>
      <c r="F141" s="168">
        <v>1200</v>
      </c>
      <c r="G141" s="168">
        <f t="shared" si="11"/>
        <v>1200</v>
      </c>
      <c r="H141" s="41"/>
      <c r="I141" s="65">
        <v>1</v>
      </c>
      <c r="J141" s="43"/>
      <c r="M141" s="14"/>
    </row>
    <row r="142" spans="1:13" s="52" customFormat="1" ht="72" customHeight="1" x14ac:dyDescent="0.3">
      <c r="A142" s="1">
        <v>6</v>
      </c>
      <c r="B142" s="2" t="s">
        <v>253</v>
      </c>
      <c r="C142" s="80" t="s">
        <v>471</v>
      </c>
      <c r="D142" s="166" t="s">
        <v>10</v>
      </c>
      <c r="E142" s="167">
        <f t="shared" si="10"/>
        <v>1</v>
      </c>
      <c r="F142" s="168">
        <v>3000</v>
      </c>
      <c r="G142" s="168">
        <f t="shared" si="11"/>
        <v>3000</v>
      </c>
      <c r="H142" s="41"/>
      <c r="I142" s="65">
        <v>1</v>
      </c>
      <c r="J142" s="43"/>
      <c r="M142" s="14"/>
    </row>
    <row r="143" spans="1:13" s="52" customFormat="1" ht="69" x14ac:dyDescent="0.3">
      <c r="A143" s="1">
        <v>6</v>
      </c>
      <c r="B143" s="2" t="s">
        <v>254</v>
      </c>
      <c r="C143" s="80" t="s">
        <v>300</v>
      </c>
      <c r="D143" s="166" t="s">
        <v>10</v>
      </c>
      <c r="E143" s="167">
        <f t="shared" si="10"/>
        <v>1</v>
      </c>
      <c r="F143" s="168">
        <v>2000</v>
      </c>
      <c r="G143" s="168">
        <f t="shared" si="11"/>
        <v>2000</v>
      </c>
      <c r="H143" s="41"/>
      <c r="I143" s="65">
        <v>1</v>
      </c>
      <c r="J143" s="43"/>
      <c r="M143" s="14"/>
    </row>
    <row r="144" spans="1:13" s="52" customFormat="1" ht="70.5" customHeight="1" x14ac:dyDescent="0.3">
      <c r="A144" s="1">
        <v>6</v>
      </c>
      <c r="B144" s="2" t="s">
        <v>255</v>
      </c>
      <c r="C144" s="80" t="s">
        <v>301</v>
      </c>
      <c r="D144" s="166" t="s">
        <v>10</v>
      </c>
      <c r="E144" s="167">
        <f t="shared" si="10"/>
        <v>1</v>
      </c>
      <c r="F144" s="168">
        <v>16000</v>
      </c>
      <c r="G144" s="168">
        <f t="shared" si="11"/>
        <v>16000</v>
      </c>
      <c r="H144" s="41"/>
      <c r="I144" s="65">
        <v>1</v>
      </c>
      <c r="J144" s="43"/>
    </row>
    <row r="145" spans="1:17" x14ac:dyDescent="0.3">
      <c r="A145" s="28" t="s">
        <v>97</v>
      </c>
      <c r="B145" s="29"/>
      <c r="C145" s="46" t="s">
        <v>98</v>
      </c>
      <c r="D145" s="31"/>
      <c r="E145" s="32"/>
      <c r="F145" s="33"/>
      <c r="G145" s="33"/>
      <c r="H145" s="42"/>
      <c r="I145" s="65"/>
      <c r="J145" s="68"/>
      <c r="K145" s="70"/>
      <c r="L145" s="52"/>
      <c r="M145" s="52"/>
      <c r="N145" s="52"/>
    </row>
    <row r="146" spans="1:17" ht="207" x14ac:dyDescent="0.3">
      <c r="A146" s="1">
        <v>7</v>
      </c>
      <c r="B146" s="2" t="s">
        <v>8</v>
      </c>
      <c r="C146" s="45" t="s">
        <v>453</v>
      </c>
      <c r="D146" s="166" t="s">
        <v>25</v>
      </c>
      <c r="E146" s="167">
        <f>SUM(H146:K146)</f>
        <v>21.119999999999997</v>
      </c>
      <c r="F146" s="168">
        <f>L146</f>
        <v>558</v>
      </c>
      <c r="G146" s="168">
        <f>$E146*$F146</f>
        <v>11784.96</v>
      </c>
      <c r="H146" s="42">
        <f>5.76+7.68+7.68</f>
        <v>21.119999999999997</v>
      </c>
      <c r="I146" s="65"/>
      <c r="J146" s="68"/>
      <c r="K146" s="70"/>
      <c r="L146" s="52">
        <f>258+50+250</f>
        <v>558</v>
      </c>
      <c r="M146" s="52"/>
      <c r="N146" s="52">
        <v>360</v>
      </c>
    </row>
    <row r="147" spans="1:17" ht="138" x14ac:dyDescent="0.3">
      <c r="A147" s="1">
        <v>7</v>
      </c>
      <c r="B147" s="2" t="s">
        <v>11</v>
      </c>
      <c r="C147" s="45" t="s">
        <v>608</v>
      </c>
      <c r="D147" s="166" t="s">
        <v>25</v>
      </c>
      <c r="E147" s="167">
        <f>SUM(H147:K147)</f>
        <v>21.12</v>
      </c>
      <c r="F147" s="168">
        <v>210</v>
      </c>
      <c r="G147" s="168">
        <f>$E147*$F147</f>
        <v>4435.2</v>
      </c>
      <c r="H147" s="42">
        <v>21.12</v>
      </c>
      <c r="I147" s="65"/>
      <c r="J147" s="68"/>
      <c r="K147" s="70"/>
      <c r="L147" s="52">
        <f>168+90</f>
        <v>258</v>
      </c>
      <c r="M147" s="52"/>
      <c r="N147" s="52">
        <v>170</v>
      </c>
    </row>
    <row r="148" spans="1:17" x14ac:dyDescent="0.3">
      <c r="A148" s="28" t="s">
        <v>102</v>
      </c>
      <c r="B148" s="29"/>
      <c r="C148" s="46" t="s">
        <v>103</v>
      </c>
      <c r="D148" s="31"/>
      <c r="E148" s="32"/>
      <c r="F148" s="33"/>
      <c r="G148" s="33"/>
      <c r="H148" s="42"/>
      <c r="I148" s="65"/>
      <c r="J148" s="68"/>
      <c r="K148" s="70"/>
      <c r="L148" s="52"/>
      <c r="M148" s="52"/>
      <c r="N148" s="52"/>
    </row>
    <row r="149" spans="1:17" ht="82.8" x14ac:dyDescent="0.3">
      <c r="A149" s="1">
        <v>8</v>
      </c>
      <c r="B149" s="2" t="s">
        <v>8</v>
      </c>
      <c r="C149" s="45" t="s">
        <v>104</v>
      </c>
      <c r="D149" s="48" t="s">
        <v>25</v>
      </c>
      <c r="E149" s="49">
        <f>SUM(H149:K149)</f>
        <v>15.82</v>
      </c>
      <c r="F149" s="50">
        <v>430</v>
      </c>
      <c r="G149" s="50">
        <f>$E149*$F149</f>
        <v>6802.6</v>
      </c>
      <c r="H149" s="42">
        <f>5.51+5.51+4.8</f>
        <v>15.82</v>
      </c>
      <c r="I149" s="65"/>
      <c r="J149" s="68"/>
      <c r="K149" s="70"/>
      <c r="L149" s="53"/>
      <c r="M149" s="53"/>
      <c r="N149" s="53"/>
    </row>
    <row r="150" spans="1:17" x14ac:dyDescent="0.3">
      <c r="A150" s="28" t="s">
        <v>105</v>
      </c>
      <c r="B150" s="29"/>
      <c r="C150" s="46" t="s">
        <v>106</v>
      </c>
      <c r="D150" s="31"/>
      <c r="E150" s="32"/>
      <c r="F150" s="33"/>
      <c r="G150" s="33"/>
      <c r="H150" s="42"/>
      <c r="I150" s="65"/>
      <c r="J150" s="68"/>
      <c r="K150" s="70"/>
      <c r="L150" s="52"/>
      <c r="M150" s="52"/>
      <c r="N150" s="52"/>
    </row>
    <row r="151" spans="1:17" ht="179.4" x14ac:dyDescent="0.3">
      <c r="A151" s="1">
        <v>9</v>
      </c>
      <c r="B151" s="2" t="s">
        <v>8</v>
      </c>
      <c r="C151" s="3" t="s">
        <v>463</v>
      </c>
      <c r="D151" s="166" t="s">
        <v>25</v>
      </c>
      <c r="E151" s="167">
        <f>SUM(H151:K151)</f>
        <v>146.57</v>
      </c>
      <c r="F151" s="168">
        <v>84</v>
      </c>
      <c r="G151" s="168">
        <f>$E151*$F151</f>
        <v>12311.88</v>
      </c>
      <c r="H151" s="42">
        <f>46.18+50.34+50.05</f>
        <v>146.57</v>
      </c>
      <c r="I151" s="65"/>
      <c r="J151" s="68"/>
      <c r="K151" s="70"/>
      <c r="L151" s="52">
        <v>80</v>
      </c>
      <c r="M151" s="52"/>
      <c r="N151" s="52">
        <v>60</v>
      </c>
    </row>
    <row r="152" spans="1:17" x14ac:dyDescent="0.3">
      <c r="A152" s="34"/>
      <c r="B152" s="74"/>
      <c r="C152" s="75"/>
      <c r="D152" s="104"/>
      <c r="E152" s="105"/>
      <c r="F152" s="93" t="s">
        <v>19</v>
      </c>
      <c r="G152" s="93">
        <f>SUM(G44:G151)</f>
        <v>1059581.9859999998</v>
      </c>
      <c r="H152" s="63"/>
      <c r="I152" s="60"/>
      <c r="J152" s="42"/>
      <c r="K152" s="100"/>
      <c r="L152" s="68"/>
      <c r="M152" s="70"/>
      <c r="N152" s="122"/>
      <c r="O152" s="52"/>
      <c r="P152" s="52"/>
      <c r="Q152" s="52"/>
    </row>
    <row r="153" spans="1:17" x14ac:dyDescent="0.3">
      <c r="A153" s="76"/>
      <c r="B153" s="35"/>
      <c r="C153" s="77"/>
      <c r="D153" s="78"/>
      <c r="E153" s="79"/>
      <c r="F153" s="93" t="s">
        <v>20</v>
      </c>
      <c r="G153" s="93">
        <f>G152*0.25</f>
        <v>264895.49649999995</v>
      </c>
      <c r="H153" s="63"/>
      <c r="I153" s="60"/>
      <c r="J153" s="42"/>
      <c r="K153" s="100"/>
      <c r="L153" s="68"/>
      <c r="M153" s="70"/>
      <c r="N153" s="122"/>
      <c r="O153" s="52"/>
      <c r="P153" s="52"/>
      <c r="Q153" s="52"/>
    </row>
    <row r="154" spans="1:17" x14ac:dyDescent="0.3">
      <c r="A154" s="76"/>
      <c r="B154" s="35"/>
      <c r="C154" s="77"/>
      <c r="D154" s="78"/>
      <c r="E154" s="79"/>
      <c r="F154" s="13" t="s">
        <v>21</v>
      </c>
      <c r="G154" s="93">
        <f>SUM(G152:G153)</f>
        <v>1324477.4824999997</v>
      </c>
      <c r="H154" s="63"/>
      <c r="I154" s="60"/>
      <c r="J154" s="42"/>
      <c r="K154" s="100"/>
      <c r="L154" s="68"/>
      <c r="M154" s="70"/>
      <c r="N154" s="122"/>
      <c r="O154" s="52"/>
      <c r="P154" s="52"/>
      <c r="Q154" s="52"/>
    </row>
  </sheetData>
  <mergeCells count="3">
    <mergeCell ref="A12:G12"/>
    <mergeCell ref="A16:G16"/>
    <mergeCell ref="I111:I112"/>
  </mergeCells>
  <phoneticPr fontId="8" type="noConversion"/>
  <pageMargins left="0.98425196850393704" right="0.39370078740157483" top="1.1811023622047245" bottom="0.78740157480314965" header="0.39370078740157483" footer="0.39370078740157483"/>
  <pageSetup paperSize="9" scale="96" orientation="portrait" useFirstPageNumber="1" r:id="rId1"/>
  <headerFooter>
    <oddHeader>&amp;L&amp;G&amp;R&amp;G</oddHeader>
    <oddFooter xml:space="preserve">&amp;L&amp;"-,Bold"&amp;9TROŠKOVNIK &amp;A&amp;"-,Regular"     &amp;KFF0000 &amp;K000000GRAĐEVINSKI PROJEKT - PROJEKT POPRAVKA GRAĐEVINSKE KONSTRUKCIJE     GPP-13/21&amp;R&amp;"-,Bold"&amp;9&amp;P/&amp;N   </oddFooter>
  </headerFooter>
  <rowBreaks count="4" manualBreakCount="4">
    <brk id="60" max="7" man="1"/>
    <brk id="80" max="7" man="1"/>
    <brk id="110" max="7" man="1"/>
    <brk id="123" max="7"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2EBF7-1E5D-4099-8674-5164509F2D83}">
  <sheetPr codeName="Sheet12"/>
  <dimension ref="A12:AD12"/>
  <sheetViews>
    <sheetView view="pageBreakPreview" zoomScale="60" zoomScaleNormal="100" zoomScalePageLayoutView="60" workbookViewId="0">
      <selection activeCell="Y12" sqref="Y12"/>
    </sheetView>
  </sheetViews>
  <sheetFormatPr defaultRowHeight="14.4" x14ac:dyDescent="0.3"/>
  <cols>
    <col min="1" max="1" width="3.6640625" style="8" customWidth="1"/>
    <col min="2" max="2" width="3.6640625" style="9" customWidth="1"/>
    <col min="3" max="3" width="40.6640625" style="10" customWidth="1"/>
    <col min="4" max="4" width="7.6640625" style="11" customWidth="1"/>
    <col min="5" max="5" width="8.6640625" style="12" customWidth="1"/>
    <col min="6" max="6" width="12.6640625" style="14" customWidth="1"/>
    <col min="7" max="7" width="13.6640625" style="14" customWidth="1"/>
    <col min="8" max="8" width="8.88671875" style="61" hidden="1" customWidth="1"/>
    <col min="9" max="9" width="11" style="58" hidden="1" customWidth="1"/>
    <col min="10" max="10" width="8.88671875" style="57" hidden="1" customWidth="1"/>
    <col min="11" max="11" width="8.88671875" style="96" hidden="1" customWidth="1"/>
    <col min="12" max="12" width="8.88671875" style="72" hidden="1" customWidth="1"/>
    <col min="13" max="13" width="8.88671875" style="73" hidden="1" customWidth="1"/>
    <col min="14" max="14" width="8.88671875" style="55" hidden="1" customWidth="1"/>
    <col min="15" max="15" width="12" hidden="1" customWidth="1"/>
    <col min="16" max="16" width="5" hidden="1" customWidth="1"/>
    <col min="17" max="17" width="11.33203125" hidden="1" customWidth="1"/>
    <col min="26" max="26" width="11.109375" bestFit="1" customWidth="1"/>
  </cols>
  <sheetData>
    <row r="12" spans="1:30" s="61" customFormat="1" ht="71.25" customHeight="1" x14ac:dyDescent="0.3">
      <c r="A12" s="290" t="s">
        <v>334</v>
      </c>
      <c r="B12" s="291"/>
      <c r="C12" s="291"/>
      <c r="D12" s="291"/>
      <c r="E12" s="291"/>
      <c r="F12" s="291"/>
      <c r="G12" s="291"/>
      <c r="I12" s="58"/>
      <c r="J12" s="57"/>
      <c r="K12" s="96"/>
      <c r="L12" s="72"/>
      <c r="M12" s="73"/>
      <c r="N12" s="55"/>
      <c r="O12"/>
      <c r="P12"/>
      <c r="Q12"/>
      <c r="R12"/>
      <c r="S12"/>
      <c r="T12"/>
      <c r="U12"/>
      <c r="V12"/>
      <c r="W12"/>
      <c r="X12"/>
      <c r="Y12"/>
      <c r="Z12"/>
      <c r="AA12"/>
      <c r="AB12"/>
      <c r="AC12"/>
      <c r="AD12"/>
    </row>
  </sheetData>
  <mergeCells count="1">
    <mergeCell ref="A12:G12"/>
  </mergeCells>
  <pageMargins left="0.98425196850393704" right="0.39370078740157483" top="1.1811023622047245" bottom="0.78740157480314965" header="0.39370078740157483" footer="0.39370078740157483"/>
  <pageSetup paperSize="9" scale="96" orientation="portrait" r:id="rId1"/>
  <headerFooter>
    <oddHeader>&amp;L&amp;G&amp;R&amp;G</oddHeader>
    <oddFooter>&amp;L&amp;"-,Bold"&amp;9GRAFIČKI PRILOZI &amp;"-,Regular"     &amp;KFF0000 &amp;K000000GRAĐEVINSKI PROJEKT - PROJEKT POPRAVKA GRAĐEVINSKE KONSTRUKCIJE     GPP-13/21</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767F7-0A70-475A-9BCB-DC1466E5442E}">
  <dimension ref="A1:C76"/>
  <sheetViews>
    <sheetView showGridLines="0" zoomScaleNormal="100" workbookViewId="0">
      <selection activeCell="F11" sqref="F11"/>
    </sheetView>
  </sheetViews>
  <sheetFormatPr defaultColWidth="9.109375" defaultRowHeight="12" x14ac:dyDescent="0.25"/>
  <cols>
    <col min="1" max="1" width="77.5546875" style="206" customWidth="1"/>
    <col min="2" max="2" width="3.33203125" style="211" bestFit="1" customWidth="1"/>
    <col min="3" max="3" width="4.109375" style="211" bestFit="1" customWidth="1"/>
    <col min="4" max="16384" width="9.109375" style="206"/>
  </cols>
  <sheetData>
    <row r="1" spans="1:3" x14ac:dyDescent="0.25">
      <c r="A1" s="212" t="s">
        <v>519</v>
      </c>
      <c r="B1" s="210" t="s">
        <v>521</v>
      </c>
      <c r="C1" s="210">
        <v>99</v>
      </c>
    </row>
    <row r="2" spans="1:3" x14ac:dyDescent="0.25">
      <c r="A2" s="207" t="s">
        <v>578</v>
      </c>
      <c r="B2" s="210"/>
      <c r="C2" s="210"/>
    </row>
    <row r="3" spans="1:3" x14ac:dyDescent="0.25">
      <c r="A3" s="205" t="s">
        <v>522</v>
      </c>
      <c r="B3" s="210" t="s">
        <v>521</v>
      </c>
      <c r="C3" s="210">
        <f>C1+1</f>
        <v>100</v>
      </c>
    </row>
    <row r="4" spans="1:3" x14ac:dyDescent="0.25">
      <c r="A4" s="205" t="s">
        <v>523</v>
      </c>
      <c r="B4" s="210" t="s">
        <v>521</v>
      </c>
      <c r="C4" s="210">
        <f>C3+13</f>
        <v>113</v>
      </c>
    </row>
    <row r="5" spans="1:3" x14ac:dyDescent="0.25">
      <c r="A5" s="207" t="s">
        <v>579</v>
      </c>
      <c r="B5" s="210"/>
      <c r="C5" s="210"/>
    </row>
    <row r="6" spans="1:3" ht="24" x14ac:dyDescent="0.25">
      <c r="A6" s="208" t="s">
        <v>586</v>
      </c>
      <c r="B6" s="210" t="s">
        <v>521</v>
      </c>
      <c r="C6" s="210">
        <f>C4+11</f>
        <v>124</v>
      </c>
    </row>
    <row r="7" spans="1:3" ht="24" x14ac:dyDescent="0.25">
      <c r="A7" s="208" t="s">
        <v>587</v>
      </c>
      <c r="B7" s="210"/>
      <c r="C7" s="210"/>
    </row>
    <row r="8" spans="1:3" x14ac:dyDescent="0.25">
      <c r="A8" s="205" t="s">
        <v>573</v>
      </c>
      <c r="B8" s="210" t="s">
        <v>521</v>
      </c>
      <c r="C8" s="210">
        <f>C6+7</f>
        <v>131</v>
      </c>
    </row>
    <row r="9" spans="1:3" x14ac:dyDescent="0.25">
      <c r="A9" s="205" t="s">
        <v>574</v>
      </c>
      <c r="B9" s="210" t="s">
        <v>521</v>
      </c>
      <c r="C9" s="210">
        <f>C8+10</f>
        <v>141</v>
      </c>
    </row>
    <row r="10" spans="1:3" x14ac:dyDescent="0.25">
      <c r="A10" s="205" t="s">
        <v>575</v>
      </c>
      <c r="B10" s="210" t="s">
        <v>521</v>
      </c>
      <c r="C10" s="210">
        <f>C9+10</f>
        <v>151</v>
      </c>
    </row>
    <row r="11" spans="1:3" x14ac:dyDescent="0.25">
      <c r="A11" s="205" t="s">
        <v>576</v>
      </c>
      <c r="B11" s="210" t="s">
        <v>521</v>
      </c>
      <c r="C11" s="210">
        <f>C10+4</f>
        <v>155</v>
      </c>
    </row>
    <row r="12" spans="1:3" x14ac:dyDescent="0.25">
      <c r="A12" s="205" t="s">
        <v>577</v>
      </c>
      <c r="B12" s="210" t="s">
        <v>521</v>
      </c>
      <c r="C12" s="210">
        <f>C11+3</f>
        <v>158</v>
      </c>
    </row>
    <row r="13" spans="1:3" x14ac:dyDescent="0.25">
      <c r="A13" s="207" t="s">
        <v>580</v>
      </c>
      <c r="B13" s="210"/>
      <c r="C13" s="210"/>
    </row>
    <row r="14" spans="1:3" ht="24" x14ac:dyDescent="0.25">
      <c r="A14" s="208" t="s">
        <v>588</v>
      </c>
      <c r="B14" s="210" t="s">
        <v>521</v>
      </c>
      <c r="C14" s="210">
        <f>C12+23</f>
        <v>181</v>
      </c>
    </row>
    <row r="15" spans="1:3" ht="24" x14ac:dyDescent="0.25">
      <c r="A15" s="208" t="s">
        <v>589</v>
      </c>
      <c r="B15" s="210" t="s">
        <v>521</v>
      </c>
      <c r="C15" s="210">
        <f>C14+8</f>
        <v>189</v>
      </c>
    </row>
    <row r="16" spans="1:3" x14ac:dyDescent="0.25">
      <c r="A16" s="207" t="s">
        <v>581</v>
      </c>
      <c r="B16" s="210" t="s">
        <v>521</v>
      </c>
      <c r="C16" s="210">
        <f>C15+23</f>
        <v>212</v>
      </c>
    </row>
    <row r="17" spans="1:3" x14ac:dyDescent="0.25">
      <c r="A17" s="207"/>
      <c r="B17" s="210"/>
      <c r="C17" s="210"/>
    </row>
    <row r="18" spans="1:3" x14ac:dyDescent="0.25">
      <c r="A18" s="212" t="s">
        <v>520</v>
      </c>
      <c r="B18" s="210" t="s">
        <v>521</v>
      </c>
      <c r="C18" s="210">
        <f>C16+1</f>
        <v>213</v>
      </c>
    </row>
    <row r="19" spans="1:3" x14ac:dyDescent="0.25">
      <c r="A19" s="207" t="s">
        <v>582</v>
      </c>
      <c r="B19" s="210" t="s">
        <v>521</v>
      </c>
      <c r="C19" s="210">
        <f t="shared" ref="C19:C65" si="0">C18+1</f>
        <v>214</v>
      </c>
    </row>
    <row r="20" spans="1:3" x14ac:dyDescent="0.25">
      <c r="A20" s="207" t="s">
        <v>583</v>
      </c>
      <c r="B20" s="210"/>
      <c r="C20" s="210"/>
    </row>
    <row r="21" spans="1:3" x14ac:dyDescent="0.25">
      <c r="A21" s="205" t="s">
        <v>565</v>
      </c>
      <c r="B21" s="210"/>
      <c r="C21" s="210"/>
    </row>
    <row r="22" spans="1:3" x14ac:dyDescent="0.25">
      <c r="A22" s="205" t="s">
        <v>524</v>
      </c>
      <c r="B22" s="210" t="s">
        <v>521</v>
      </c>
      <c r="C22" s="210">
        <f>C19+1</f>
        <v>215</v>
      </c>
    </row>
    <row r="23" spans="1:3" x14ac:dyDescent="0.25">
      <c r="A23" s="205" t="s">
        <v>525</v>
      </c>
      <c r="B23" s="210" t="s">
        <v>521</v>
      </c>
      <c r="C23" s="210">
        <f t="shared" si="0"/>
        <v>216</v>
      </c>
    </row>
    <row r="24" spans="1:3" x14ac:dyDescent="0.25">
      <c r="A24" s="205" t="s">
        <v>526</v>
      </c>
      <c r="B24" s="210" t="s">
        <v>521</v>
      </c>
      <c r="C24" s="210">
        <f t="shared" si="0"/>
        <v>217</v>
      </c>
    </row>
    <row r="25" spans="1:3" x14ac:dyDescent="0.25">
      <c r="A25" s="205" t="s">
        <v>527</v>
      </c>
      <c r="B25" s="210" t="s">
        <v>521</v>
      </c>
      <c r="C25" s="210">
        <f t="shared" si="0"/>
        <v>218</v>
      </c>
    </row>
    <row r="26" spans="1:3" x14ac:dyDescent="0.25">
      <c r="A26" s="205" t="s">
        <v>528</v>
      </c>
      <c r="B26" s="210" t="s">
        <v>521</v>
      </c>
      <c r="C26" s="210">
        <f t="shared" si="0"/>
        <v>219</v>
      </c>
    </row>
    <row r="27" spans="1:3" x14ac:dyDescent="0.25">
      <c r="A27" s="205" t="s">
        <v>529</v>
      </c>
      <c r="B27" s="210" t="s">
        <v>521</v>
      </c>
      <c r="C27" s="210">
        <f t="shared" si="0"/>
        <v>220</v>
      </c>
    </row>
    <row r="28" spans="1:3" x14ac:dyDescent="0.25">
      <c r="A28" s="205" t="s">
        <v>530</v>
      </c>
      <c r="B28" s="210" t="s">
        <v>521</v>
      </c>
      <c r="C28" s="210">
        <f t="shared" si="0"/>
        <v>221</v>
      </c>
    </row>
    <row r="29" spans="1:3" x14ac:dyDescent="0.25">
      <c r="A29" s="205" t="s">
        <v>531</v>
      </c>
      <c r="B29" s="210" t="s">
        <v>521</v>
      </c>
      <c r="C29" s="210">
        <f t="shared" si="0"/>
        <v>222</v>
      </c>
    </row>
    <row r="30" spans="1:3" x14ac:dyDescent="0.25">
      <c r="A30" s="205" t="s">
        <v>566</v>
      </c>
      <c r="B30" s="210"/>
      <c r="C30" s="210"/>
    </row>
    <row r="31" spans="1:3" x14ac:dyDescent="0.25">
      <c r="A31" s="205" t="s">
        <v>532</v>
      </c>
      <c r="B31" s="210" t="s">
        <v>521</v>
      </c>
      <c r="C31" s="210">
        <f>C29+1</f>
        <v>223</v>
      </c>
    </row>
    <row r="32" spans="1:3" x14ac:dyDescent="0.25">
      <c r="A32" s="205" t="s">
        <v>533</v>
      </c>
      <c r="B32" s="210" t="s">
        <v>521</v>
      </c>
      <c r="C32" s="210">
        <f t="shared" si="0"/>
        <v>224</v>
      </c>
    </row>
    <row r="33" spans="1:3" x14ac:dyDescent="0.25">
      <c r="A33" s="205" t="s">
        <v>534</v>
      </c>
      <c r="B33" s="210" t="s">
        <v>521</v>
      </c>
      <c r="C33" s="210">
        <f t="shared" si="0"/>
        <v>225</v>
      </c>
    </row>
    <row r="34" spans="1:3" x14ac:dyDescent="0.25">
      <c r="A34" s="205" t="s">
        <v>535</v>
      </c>
      <c r="B34" s="210" t="s">
        <v>521</v>
      </c>
      <c r="C34" s="210">
        <f t="shared" si="0"/>
        <v>226</v>
      </c>
    </row>
    <row r="35" spans="1:3" x14ac:dyDescent="0.25">
      <c r="A35" s="205" t="s">
        <v>536</v>
      </c>
      <c r="B35" s="210" t="s">
        <v>521</v>
      </c>
      <c r="C35" s="210">
        <f t="shared" si="0"/>
        <v>227</v>
      </c>
    </row>
    <row r="36" spans="1:3" x14ac:dyDescent="0.25">
      <c r="A36" s="205" t="s">
        <v>537</v>
      </c>
      <c r="B36" s="210" t="s">
        <v>521</v>
      </c>
      <c r="C36" s="210">
        <f t="shared" si="0"/>
        <v>228</v>
      </c>
    </row>
    <row r="37" spans="1:3" x14ac:dyDescent="0.25">
      <c r="A37" s="205" t="s">
        <v>538</v>
      </c>
      <c r="B37" s="210" t="s">
        <v>521</v>
      </c>
      <c r="C37" s="210">
        <f t="shared" si="0"/>
        <v>229</v>
      </c>
    </row>
    <row r="38" spans="1:3" x14ac:dyDescent="0.25">
      <c r="A38" s="205" t="s">
        <v>590</v>
      </c>
      <c r="B38" s="210"/>
      <c r="C38" s="210"/>
    </row>
    <row r="39" spans="1:3" x14ac:dyDescent="0.25">
      <c r="A39" s="205" t="s">
        <v>539</v>
      </c>
      <c r="B39" s="210" t="s">
        <v>521</v>
      </c>
      <c r="C39" s="210">
        <f>C37+1</f>
        <v>230</v>
      </c>
    </row>
    <row r="40" spans="1:3" x14ac:dyDescent="0.25">
      <c r="A40" s="205" t="s">
        <v>541</v>
      </c>
      <c r="B40" s="210" t="s">
        <v>521</v>
      </c>
      <c r="C40" s="210">
        <f t="shared" si="0"/>
        <v>231</v>
      </c>
    </row>
    <row r="41" spans="1:3" x14ac:dyDescent="0.25">
      <c r="A41" s="205" t="s">
        <v>540</v>
      </c>
      <c r="B41" s="210" t="s">
        <v>521</v>
      </c>
      <c r="C41" s="210">
        <f t="shared" si="0"/>
        <v>232</v>
      </c>
    </row>
    <row r="42" spans="1:3" x14ac:dyDescent="0.25">
      <c r="A42" s="205" t="s">
        <v>542</v>
      </c>
      <c r="B42" s="210" t="s">
        <v>521</v>
      </c>
      <c r="C42" s="210">
        <f t="shared" si="0"/>
        <v>233</v>
      </c>
    </row>
    <row r="43" spans="1:3" x14ac:dyDescent="0.25">
      <c r="A43" s="205" t="s">
        <v>567</v>
      </c>
      <c r="B43" s="210"/>
      <c r="C43" s="210"/>
    </row>
    <row r="44" spans="1:3" x14ac:dyDescent="0.25">
      <c r="A44" s="205" t="s">
        <v>543</v>
      </c>
      <c r="B44" s="210" t="s">
        <v>521</v>
      </c>
      <c r="C44" s="210">
        <f>C42+1</f>
        <v>234</v>
      </c>
    </row>
    <row r="45" spans="1:3" x14ac:dyDescent="0.25">
      <c r="A45" s="205" t="s">
        <v>544</v>
      </c>
      <c r="B45" s="210" t="s">
        <v>521</v>
      </c>
      <c r="C45" s="210">
        <f t="shared" si="0"/>
        <v>235</v>
      </c>
    </row>
    <row r="46" spans="1:3" x14ac:dyDescent="0.25">
      <c r="A46" s="205" t="s">
        <v>545</v>
      </c>
      <c r="B46" s="210" t="s">
        <v>521</v>
      </c>
      <c r="C46" s="210">
        <f t="shared" si="0"/>
        <v>236</v>
      </c>
    </row>
    <row r="47" spans="1:3" x14ac:dyDescent="0.25">
      <c r="A47" s="205" t="s">
        <v>568</v>
      </c>
      <c r="B47" s="210"/>
      <c r="C47" s="210"/>
    </row>
    <row r="48" spans="1:3" x14ac:dyDescent="0.25">
      <c r="A48" s="205" t="s">
        <v>546</v>
      </c>
      <c r="B48" s="210" t="s">
        <v>521</v>
      </c>
      <c r="C48" s="210">
        <f>C46+1</f>
        <v>237</v>
      </c>
    </row>
    <row r="49" spans="1:3" x14ac:dyDescent="0.25">
      <c r="A49" s="205" t="s">
        <v>547</v>
      </c>
      <c r="B49" s="210" t="s">
        <v>521</v>
      </c>
      <c r="C49" s="210">
        <f t="shared" si="0"/>
        <v>238</v>
      </c>
    </row>
    <row r="50" spans="1:3" x14ac:dyDescent="0.25">
      <c r="A50" s="205" t="s">
        <v>548</v>
      </c>
      <c r="B50" s="210" t="s">
        <v>521</v>
      </c>
      <c r="C50" s="210">
        <f t="shared" si="0"/>
        <v>239</v>
      </c>
    </row>
    <row r="51" spans="1:3" x14ac:dyDescent="0.25">
      <c r="A51" s="205" t="s">
        <v>569</v>
      </c>
      <c r="B51" s="210"/>
      <c r="C51" s="210"/>
    </row>
    <row r="52" spans="1:3" x14ac:dyDescent="0.25">
      <c r="A52" s="205" t="s">
        <v>549</v>
      </c>
      <c r="B52" s="210" t="s">
        <v>521</v>
      </c>
      <c r="C52" s="210">
        <f>C50+1</f>
        <v>240</v>
      </c>
    </row>
    <row r="53" spans="1:3" x14ac:dyDescent="0.25">
      <c r="A53" s="205" t="s">
        <v>550</v>
      </c>
      <c r="B53" s="210" t="s">
        <v>521</v>
      </c>
      <c r="C53" s="210">
        <f t="shared" si="0"/>
        <v>241</v>
      </c>
    </row>
    <row r="54" spans="1:3" x14ac:dyDescent="0.25">
      <c r="A54" s="205" t="s">
        <v>570</v>
      </c>
      <c r="B54" s="210"/>
      <c r="C54" s="210"/>
    </row>
    <row r="55" spans="1:3" x14ac:dyDescent="0.25">
      <c r="A55" s="205" t="s">
        <v>551</v>
      </c>
      <c r="B55" s="210" t="s">
        <v>521</v>
      </c>
      <c r="C55" s="210">
        <f>C53+1</f>
        <v>242</v>
      </c>
    </row>
    <row r="56" spans="1:3" x14ac:dyDescent="0.25">
      <c r="A56" s="205" t="s">
        <v>552</v>
      </c>
      <c r="B56" s="210" t="s">
        <v>521</v>
      </c>
      <c r="C56" s="210">
        <f t="shared" si="0"/>
        <v>243</v>
      </c>
    </row>
    <row r="57" spans="1:3" x14ac:dyDescent="0.25">
      <c r="A57" s="207" t="s">
        <v>584</v>
      </c>
      <c r="B57" s="210"/>
      <c r="C57" s="210"/>
    </row>
    <row r="58" spans="1:3" x14ac:dyDescent="0.25">
      <c r="A58" s="205" t="s">
        <v>571</v>
      </c>
      <c r="B58" s="210"/>
      <c r="C58" s="210"/>
    </row>
    <row r="59" spans="1:3" x14ac:dyDescent="0.25">
      <c r="A59" s="205" t="s">
        <v>553</v>
      </c>
      <c r="B59" s="210" t="s">
        <v>521</v>
      </c>
      <c r="C59" s="210">
        <f>C56+1</f>
        <v>244</v>
      </c>
    </row>
    <row r="60" spans="1:3" x14ac:dyDescent="0.25">
      <c r="A60" s="205" t="s">
        <v>554</v>
      </c>
      <c r="B60" s="210" t="s">
        <v>521</v>
      </c>
      <c r="C60" s="210">
        <f t="shared" si="0"/>
        <v>245</v>
      </c>
    </row>
    <row r="61" spans="1:3" x14ac:dyDescent="0.25">
      <c r="A61" s="205" t="s">
        <v>555</v>
      </c>
      <c r="B61" s="210" t="s">
        <v>521</v>
      </c>
      <c r="C61" s="210">
        <f t="shared" si="0"/>
        <v>246</v>
      </c>
    </row>
    <row r="62" spans="1:3" x14ac:dyDescent="0.25">
      <c r="A62" s="205" t="s">
        <v>556</v>
      </c>
      <c r="B62" s="210" t="s">
        <v>521</v>
      </c>
      <c r="C62" s="210">
        <f t="shared" si="0"/>
        <v>247</v>
      </c>
    </row>
    <row r="63" spans="1:3" x14ac:dyDescent="0.25">
      <c r="A63" s="205" t="s">
        <v>591</v>
      </c>
      <c r="B63" s="210" t="s">
        <v>521</v>
      </c>
      <c r="C63" s="210">
        <f t="shared" si="0"/>
        <v>248</v>
      </c>
    </row>
    <row r="64" spans="1:3" x14ac:dyDescent="0.25">
      <c r="A64" s="205" t="s">
        <v>592</v>
      </c>
      <c r="B64" s="210" t="s">
        <v>521</v>
      </c>
      <c r="C64" s="210">
        <f t="shared" si="0"/>
        <v>249</v>
      </c>
    </row>
    <row r="65" spans="1:3" x14ac:dyDescent="0.25">
      <c r="A65" s="205" t="s">
        <v>593</v>
      </c>
      <c r="B65" s="210" t="s">
        <v>521</v>
      </c>
      <c r="C65" s="210">
        <f t="shared" si="0"/>
        <v>250</v>
      </c>
    </row>
    <row r="66" spans="1:3" x14ac:dyDescent="0.25">
      <c r="A66" s="205" t="s">
        <v>572</v>
      </c>
      <c r="B66" s="210"/>
      <c r="C66" s="210"/>
    </row>
    <row r="67" spans="1:3" x14ac:dyDescent="0.25">
      <c r="A67" s="205" t="s">
        <v>557</v>
      </c>
      <c r="B67" s="210" t="s">
        <v>521</v>
      </c>
      <c r="C67" s="210">
        <f>C65+1</f>
        <v>251</v>
      </c>
    </row>
    <row r="68" spans="1:3" x14ac:dyDescent="0.25">
      <c r="A68" s="205" t="s">
        <v>558</v>
      </c>
      <c r="B68" s="210" t="s">
        <v>521</v>
      </c>
      <c r="C68" s="210">
        <f t="shared" ref="C68:C75" si="1">C67+1</f>
        <v>252</v>
      </c>
    </row>
    <row r="69" spans="1:3" x14ac:dyDescent="0.25">
      <c r="A69" s="205" t="s">
        <v>559</v>
      </c>
      <c r="B69" s="210" t="s">
        <v>521</v>
      </c>
      <c r="C69" s="210">
        <f t="shared" si="1"/>
        <v>253</v>
      </c>
    </row>
    <row r="70" spans="1:3" x14ac:dyDescent="0.25">
      <c r="A70" s="205" t="s">
        <v>594</v>
      </c>
      <c r="B70" s="210" t="s">
        <v>521</v>
      </c>
      <c r="C70" s="210">
        <f>C69+1</f>
        <v>254</v>
      </c>
    </row>
    <row r="71" spans="1:3" ht="24" x14ac:dyDescent="0.25">
      <c r="A71" s="209" t="s">
        <v>585</v>
      </c>
      <c r="B71" s="210"/>
      <c r="C71" s="210"/>
    </row>
    <row r="72" spans="1:3" x14ac:dyDescent="0.25">
      <c r="A72" s="205" t="s">
        <v>560</v>
      </c>
      <c r="B72" s="210" t="s">
        <v>521</v>
      </c>
      <c r="C72" s="210">
        <f>C70+1</f>
        <v>255</v>
      </c>
    </row>
    <row r="73" spans="1:3" x14ac:dyDescent="0.25">
      <c r="A73" s="205" t="s">
        <v>561</v>
      </c>
      <c r="B73" s="210" t="s">
        <v>521</v>
      </c>
      <c r="C73" s="210">
        <f t="shared" si="1"/>
        <v>256</v>
      </c>
    </row>
    <row r="74" spans="1:3" x14ac:dyDescent="0.25">
      <c r="A74" s="205" t="s">
        <v>562</v>
      </c>
      <c r="B74" s="210" t="s">
        <v>521</v>
      </c>
      <c r="C74" s="210">
        <f t="shared" si="1"/>
        <v>257</v>
      </c>
    </row>
    <row r="75" spans="1:3" x14ac:dyDescent="0.25">
      <c r="A75" s="205" t="s">
        <v>563</v>
      </c>
      <c r="B75" s="210" t="s">
        <v>521</v>
      </c>
      <c r="C75" s="210">
        <f t="shared" si="1"/>
        <v>258</v>
      </c>
    </row>
    <row r="76" spans="1:3" x14ac:dyDescent="0.25">
      <c r="A76" s="205" t="s">
        <v>564</v>
      </c>
      <c r="B76" s="210" t="s">
        <v>521</v>
      </c>
      <c r="C76" s="210">
        <f>C75+1</f>
        <v>259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E3C93-88DB-483C-9EA7-79660F85CC13}">
  <sheetPr codeName="Sheet13"/>
  <dimension ref="A6:G24"/>
  <sheetViews>
    <sheetView workbookViewId="0">
      <selection activeCell="F13" sqref="F13"/>
    </sheetView>
  </sheetViews>
  <sheetFormatPr defaultRowHeight="14.4" x14ac:dyDescent="0.3"/>
  <cols>
    <col min="1" max="1" width="4.5546875" bestFit="1" customWidth="1"/>
    <col min="2" max="2" width="26.5546875" customWidth="1"/>
    <col min="3" max="4" width="14.44140625" style="84" bestFit="1" customWidth="1"/>
    <col min="5" max="5" width="15.44140625" style="84" bestFit="1" customWidth="1"/>
    <col min="6" max="7" width="14.44140625" bestFit="1" customWidth="1"/>
  </cols>
  <sheetData>
    <row r="6" spans="1:7" x14ac:dyDescent="0.3">
      <c r="C6" s="88" t="s">
        <v>19</v>
      </c>
      <c r="D6" s="88" t="s">
        <v>20</v>
      </c>
      <c r="E6" s="88" t="s">
        <v>21</v>
      </c>
      <c r="F6" s="88" t="s">
        <v>155</v>
      </c>
      <c r="G6" s="88" t="s">
        <v>156</v>
      </c>
    </row>
    <row r="7" spans="1:7" x14ac:dyDescent="0.3">
      <c r="A7" s="85" t="s">
        <v>141</v>
      </c>
      <c r="B7" s="85" t="s">
        <v>140</v>
      </c>
      <c r="C7" s="86">
        <f>'T2.1'!$G$70</f>
        <v>0</v>
      </c>
      <c r="D7" s="86">
        <f>C7*0.25</f>
        <v>0</v>
      </c>
      <c r="E7" s="90">
        <f>C7+D7</f>
        <v>0</v>
      </c>
      <c r="F7" s="112">
        <v>3288250</v>
      </c>
      <c r="G7" s="91">
        <f>F7-E7</f>
        <v>3288250</v>
      </c>
    </row>
    <row r="8" spans="1:7" x14ac:dyDescent="0.3">
      <c r="A8" s="85"/>
      <c r="B8" s="85"/>
      <c r="C8" s="86"/>
      <c r="D8" s="86"/>
      <c r="E8" s="90"/>
      <c r="F8" s="112"/>
      <c r="G8" s="91"/>
    </row>
    <row r="9" spans="1:7" x14ac:dyDescent="0.3">
      <c r="A9" s="85" t="s">
        <v>142</v>
      </c>
      <c r="B9" s="85" t="s">
        <v>143</v>
      </c>
      <c r="C9" s="86">
        <f>SUM(C13:C17)</f>
        <v>0</v>
      </c>
      <c r="D9" s="86">
        <f>C9*0.25</f>
        <v>0</v>
      </c>
      <c r="E9" s="90">
        <f>C9+D9</f>
        <v>0</v>
      </c>
      <c r="F9" s="112">
        <v>1409250</v>
      </c>
      <c r="G9" s="113">
        <f>F9-E9</f>
        <v>1409250</v>
      </c>
    </row>
    <row r="10" spans="1:7" x14ac:dyDescent="0.3">
      <c r="A10" s="85"/>
      <c r="B10" s="87" t="s">
        <v>308</v>
      </c>
      <c r="C10" s="86">
        <f>SUM($C$13:$C$16)</f>
        <v>0</v>
      </c>
      <c r="D10" s="86">
        <f>C10*0.25</f>
        <v>0</v>
      </c>
      <c r="E10" s="90">
        <f>C10+D10</f>
        <v>0</v>
      </c>
      <c r="F10" s="112">
        <v>1409250</v>
      </c>
      <c r="G10" s="92">
        <f>F10-E10</f>
        <v>1409250</v>
      </c>
    </row>
    <row r="11" spans="1:7" x14ac:dyDescent="0.3">
      <c r="A11" s="85"/>
      <c r="B11" s="87"/>
      <c r="C11" s="86"/>
      <c r="D11" s="86"/>
      <c r="E11" s="90"/>
      <c r="F11" s="112"/>
      <c r="G11" s="92"/>
    </row>
    <row r="12" spans="1:7" x14ac:dyDescent="0.3">
      <c r="A12" s="85"/>
      <c r="B12" s="87"/>
      <c r="C12" s="86"/>
      <c r="D12" s="86"/>
      <c r="E12" s="90"/>
      <c r="F12" s="112">
        <f>F7+F10</f>
        <v>4697500</v>
      </c>
      <c r="G12" s="92"/>
    </row>
    <row r="13" spans="1:7" x14ac:dyDescent="0.3">
      <c r="A13" s="85" t="s">
        <v>144</v>
      </c>
      <c r="B13" s="85" t="s">
        <v>149</v>
      </c>
      <c r="C13" s="86">
        <f>'T2.2.1'!$G$84</f>
        <v>0</v>
      </c>
      <c r="D13" s="86">
        <f t="shared" ref="D13:D19" si="0">C13*0.25</f>
        <v>0</v>
      </c>
      <c r="E13" s="86">
        <f t="shared" ref="E13:E17" si="1">C13+D13</f>
        <v>0</v>
      </c>
    </row>
    <row r="14" spans="1:7" x14ac:dyDescent="0.3">
      <c r="A14" s="85" t="s">
        <v>145</v>
      </c>
      <c r="B14" s="85" t="s">
        <v>150</v>
      </c>
      <c r="C14" s="86">
        <f>'T2.2.2'!$G$90</f>
        <v>0</v>
      </c>
      <c r="D14" s="86">
        <f t="shared" si="0"/>
        <v>0</v>
      </c>
      <c r="E14" s="86">
        <f t="shared" si="1"/>
        <v>0</v>
      </c>
    </row>
    <row r="15" spans="1:7" x14ac:dyDescent="0.3">
      <c r="A15" s="85" t="s">
        <v>146</v>
      </c>
      <c r="B15" s="85" t="s">
        <v>151</v>
      </c>
      <c r="C15" s="86">
        <f>'T2.2.3'!$G$63</f>
        <v>0</v>
      </c>
      <c r="D15" s="86">
        <f t="shared" si="0"/>
        <v>0</v>
      </c>
      <c r="E15" s="86">
        <f t="shared" si="1"/>
        <v>0</v>
      </c>
    </row>
    <row r="16" spans="1:7" x14ac:dyDescent="0.3">
      <c r="A16" s="85" t="s">
        <v>147</v>
      </c>
      <c r="B16" s="85" t="s">
        <v>152</v>
      </c>
      <c r="C16" s="86">
        <f>'T2.2.4'!$G$51</f>
        <v>0</v>
      </c>
      <c r="D16" s="86">
        <f t="shared" si="0"/>
        <v>0</v>
      </c>
      <c r="E16" s="86">
        <f t="shared" si="1"/>
        <v>0</v>
      </c>
    </row>
    <row r="17" spans="1:5" x14ac:dyDescent="0.3">
      <c r="A17" s="85" t="s">
        <v>148</v>
      </c>
      <c r="B17" s="85" t="s">
        <v>153</v>
      </c>
      <c r="C17" s="86">
        <f>'T2.2.5'!$G$162</f>
        <v>0</v>
      </c>
      <c r="D17" s="86">
        <f t="shared" si="0"/>
        <v>0</v>
      </c>
      <c r="E17" s="86">
        <f t="shared" si="1"/>
        <v>0</v>
      </c>
    </row>
    <row r="18" spans="1:5" x14ac:dyDescent="0.3">
      <c r="B18" s="85"/>
    </row>
    <row r="19" spans="1:5" x14ac:dyDescent="0.3">
      <c r="B19" s="89" t="s">
        <v>154</v>
      </c>
      <c r="C19" s="90">
        <f>SUM(C7:C9)</f>
        <v>0</v>
      </c>
      <c r="D19" s="86">
        <f t="shared" si="0"/>
        <v>0</v>
      </c>
      <c r="E19" s="90">
        <f>C19+D19</f>
        <v>0</v>
      </c>
    </row>
    <row r="20" spans="1:5" x14ac:dyDescent="0.3">
      <c r="D20" s="86"/>
      <c r="E20" s="90"/>
    </row>
    <row r="21" spans="1:5" x14ac:dyDescent="0.3">
      <c r="A21" t="s">
        <v>335</v>
      </c>
      <c r="C21" s="84">
        <f>'T3.1'!$G$69</f>
        <v>1898701.6300000001</v>
      </c>
      <c r="D21" s="86">
        <f t="shared" ref="D21" si="2">C21*0.25</f>
        <v>474675.40750000003</v>
      </c>
      <c r="E21" s="90">
        <f t="shared" ref="E21" si="3">C21+D21</f>
        <v>2373377.0375000001</v>
      </c>
    </row>
    <row r="22" spans="1:5" x14ac:dyDescent="0.3">
      <c r="A22" t="s">
        <v>336</v>
      </c>
      <c r="C22" s="84">
        <f>'T3.2'!$G$152</f>
        <v>1059581.9859999998</v>
      </c>
      <c r="D22" s="86">
        <f>C22*0.25</f>
        <v>264895.49649999995</v>
      </c>
      <c r="E22" s="90">
        <f>C22+D22</f>
        <v>1324477.4824999997</v>
      </c>
    </row>
    <row r="23" spans="1:5" x14ac:dyDescent="0.3">
      <c r="E23" s="84">
        <f>E21+E22</f>
        <v>3697854.5199999996</v>
      </c>
    </row>
    <row r="24" spans="1:5" x14ac:dyDescent="0.3">
      <c r="A24" t="s">
        <v>470</v>
      </c>
      <c r="C24" s="84">
        <f>E7+SUM(CIJENE!$C$14:$C$17)</f>
        <v>0</v>
      </c>
    </row>
  </sheetData>
  <phoneticPr fontId="8" type="noConversion"/>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2E74A-0C72-4BBF-A070-99F6EFAE97B5}">
  <sheetPr codeName="Sheet15"/>
  <dimension ref="A23:AT195"/>
  <sheetViews>
    <sheetView topLeftCell="A171" zoomScale="85" zoomScaleNormal="85" zoomScalePageLayoutView="85" workbookViewId="0">
      <selection activeCell="A173" sqref="A173:XFD176"/>
    </sheetView>
  </sheetViews>
  <sheetFormatPr defaultRowHeight="14.4" x14ac:dyDescent="0.3"/>
  <cols>
    <col min="1" max="1" width="3.6640625" style="8" customWidth="1"/>
    <col min="2" max="2" width="3.6640625" style="9" customWidth="1"/>
    <col min="3" max="3" width="40.6640625" style="10" customWidth="1"/>
    <col min="4" max="4" width="7.6640625" style="11" customWidth="1"/>
    <col min="5" max="5" width="8.6640625" style="12" customWidth="1"/>
    <col min="6" max="6" width="12.6640625" style="14" customWidth="1"/>
    <col min="7" max="7" width="13.6640625" style="14" customWidth="1"/>
    <col min="8" max="8" width="8.88671875" style="61" bestFit="1" customWidth="1"/>
    <col min="9" max="9" width="11" style="58" bestFit="1" customWidth="1"/>
    <col min="10" max="10" width="8.88671875" style="57" bestFit="1" customWidth="1"/>
    <col min="11" max="11" width="8.88671875" style="96" customWidth="1"/>
    <col min="12" max="12" width="8.88671875" style="72" customWidth="1"/>
    <col min="13" max="13" width="8.88671875" style="73" customWidth="1"/>
    <col min="14" max="14" width="8.88671875" style="55" bestFit="1" customWidth="1"/>
    <col min="15" max="15" width="12" hidden="1" customWidth="1"/>
    <col min="16" max="16" width="5" hidden="1" customWidth="1"/>
    <col min="17" max="17" width="11.33203125" hidden="1" customWidth="1"/>
    <col min="26" max="26" width="11.109375" bestFit="1" customWidth="1"/>
    <col min="31" max="31" width="12.44140625" bestFit="1" customWidth="1"/>
  </cols>
  <sheetData>
    <row r="23" spans="1:7" ht="71.25" customHeight="1" x14ac:dyDescent="0.3">
      <c r="A23" s="287" t="s">
        <v>139</v>
      </c>
      <c r="B23" s="288"/>
      <c r="C23" s="288"/>
      <c r="D23" s="288"/>
      <c r="E23" s="288"/>
      <c r="F23" s="288"/>
      <c r="G23" s="288"/>
    </row>
    <row r="47" spans="1:17" ht="27.6" x14ac:dyDescent="0.3">
      <c r="A47" s="15" t="s">
        <v>0</v>
      </c>
      <c r="B47" s="16"/>
      <c r="C47" s="17" t="s">
        <v>1</v>
      </c>
      <c r="D47" s="18" t="s">
        <v>2</v>
      </c>
      <c r="E47" s="19" t="s">
        <v>3</v>
      </c>
      <c r="F47" s="20" t="s">
        <v>4</v>
      </c>
      <c r="G47" s="21" t="s">
        <v>5</v>
      </c>
      <c r="H47" s="62"/>
      <c r="I47" s="59"/>
      <c r="J47" s="54" t="s">
        <v>112</v>
      </c>
      <c r="K47" s="97" t="s">
        <v>114</v>
      </c>
      <c r="L47" s="67" t="s">
        <v>115</v>
      </c>
      <c r="M47" s="69" t="s">
        <v>116</v>
      </c>
      <c r="N47" s="56"/>
      <c r="O47" s="52" t="s">
        <v>107</v>
      </c>
      <c r="P47" s="52" t="s">
        <v>108</v>
      </c>
      <c r="Q47" s="52" t="s">
        <v>109</v>
      </c>
    </row>
    <row r="48" spans="1:17" x14ac:dyDescent="0.3">
      <c r="A48" s="15"/>
      <c r="B48" s="16"/>
      <c r="C48" s="17"/>
      <c r="D48" s="18"/>
      <c r="E48" s="19"/>
      <c r="F48" s="20"/>
      <c r="G48" s="21"/>
      <c r="H48" s="62"/>
      <c r="I48" s="59"/>
      <c r="J48" s="54"/>
      <c r="K48" s="97"/>
      <c r="L48" s="67"/>
      <c r="M48" s="69"/>
      <c r="N48" s="56"/>
      <c r="O48" s="52"/>
      <c r="P48" s="52"/>
      <c r="Q48" s="52"/>
    </row>
    <row r="49" spans="1:17" x14ac:dyDescent="0.3">
      <c r="A49" s="28" t="s">
        <v>6</v>
      </c>
      <c r="B49" s="29"/>
      <c r="C49" s="30" t="s">
        <v>7</v>
      </c>
      <c r="D49" s="31"/>
      <c r="E49" s="32"/>
      <c r="F49" s="33"/>
      <c r="G49" s="33"/>
    </row>
    <row r="50" spans="1:17" ht="331.2" x14ac:dyDescent="0.3">
      <c r="A50" s="1">
        <v>1</v>
      </c>
      <c r="B50" s="2" t="s">
        <v>8</v>
      </c>
      <c r="C50" s="3" t="s">
        <v>22</v>
      </c>
      <c r="D50" s="134" t="s">
        <v>10</v>
      </c>
      <c r="E50" s="135">
        <v>1</v>
      </c>
      <c r="F50" s="136">
        <f>SUM(H50:N50)</f>
        <v>6000</v>
      </c>
      <c r="G50" s="136">
        <f t="shared" ref="G50:G68" si="0">$E50*$F50</f>
        <v>6000</v>
      </c>
      <c r="H50" s="63"/>
      <c r="I50" s="60"/>
      <c r="J50" s="42">
        <v>6000</v>
      </c>
      <c r="K50" s="133"/>
      <c r="L50" s="68"/>
      <c r="M50" s="70"/>
      <c r="N50" s="51"/>
      <c r="O50" s="52"/>
      <c r="P50" s="52"/>
      <c r="Q50" s="52"/>
    </row>
    <row r="51" spans="1:17" ht="220.8" x14ac:dyDescent="0.3">
      <c r="A51" s="1">
        <v>1</v>
      </c>
      <c r="B51" s="2" t="s">
        <v>11</v>
      </c>
      <c r="C51" s="3" t="s">
        <v>23</v>
      </c>
      <c r="D51" s="134" t="s">
        <v>10</v>
      </c>
      <c r="E51" s="135">
        <v>1</v>
      </c>
      <c r="F51" s="136">
        <f>SUM(H51:N51)</f>
        <v>20000</v>
      </c>
      <c r="G51" s="136">
        <f t="shared" si="0"/>
        <v>20000</v>
      </c>
      <c r="H51" s="63"/>
      <c r="I51" s="60"/>
      <c r="J51" s="42">
        <v>20000</v>
      </c>
      <c r="K51" s="133"/>
      <c r="L51" s="68"/>
      <c r="M51" s="70"/>
      <c r="N51" s="51"/>
      <c r="O51" s="52"/>
      <c r="P51" s="52"/>
      <c r="Q51" s="52"/>
    </row>
    <row r="52" spans="1:17" ht="138" x14ac:dyDescent="0.3">
      <c r="A52" s="1">
        <v>1</v>
      </c>
      <c r="B52" s="2" t="s">
        <v>13</v>
      </c>
      <c r="C52" s="3" t="s">
        <v>24</v>
      </c>
      <c r="D52" s="134" t="s">
        <v>25</v>
      </c>
      <c r="E52" s="135">
        <f t="shared" ref="E52:E69" si="1">SUM(H52:N52)</f>
        <v>44</v>
      </c>
      <c r="F52" s="136">
        <v>200</v>
      </c>
      <c r="G52" s="136">
        <f t="shared" si="0"/>
        <v>8800</v>
      </c>
      <c r="H52" s="63"/>
      <c r="I52" s="60"/>
      <c r="J52" s="42">
        <f>4*11</f>
        <v>44</v>
      </c>
      <c r="K52" s="133"/>
      <c r="L52" s="68"/>
      <c r="M52" s="70"/>
      <c r="N52" s="51"/>
      <c r="O52" s="52"/>
      <c r="P52" s="52"/>
      <c r="Q52" s="52"/>
    </row>
    <row r="53" spans="1:17" ht="179.4" x14ac:dyDescent="0.3">
      <c r="A53" s="1">
        <v>1</v>
      </c>
      <c r="B53" s="2" t="s">
        <v>26</v>
      </c>
      <c r="C53" s="3" t="s">
        <v>27</v>
      </c>
      <c r="D53" s="134" t="s">
        <v>18</v>
      </c>
      <c r="E53" s="135">
        <f t="shared" si="1"/>
        <v>0</v>
      </c>
      <c r="F53" s="136">
        <v>100</v>
      </c>
      <c r="G53" s="136">
        <f t="shared" si="0"/>
        <v>0</v>
      </c>
      <c r="H53" s="63"/>
      <c r="I53" s="60"/>
      <c r="J53" s="42"/>
      <c r="K53" s="133"/>
      <c r="L53" s="68"/>
      <c r="M53" s="70"/>
      <c r="N53" s="51"/>
      <c r="O53" s="52"/>
      <c r="P53" s="52"/>
      <c r="Q53" s="52"/>
    </row>
    <row r="54" spans="1:17" ht="151.80000000000001" x14ac:dyDescent="0.3">
      <c r="A54" s="1">
        <v>1</v>
      </c>
      <c r="B54" s="2" t="s">
        <v>28</v>
      </c>
      <c r="C54" s="3" t="s">
        <v>439</v>
      </c>
      <c r="D54" s="134" t="s">
        <v>29</v>
      </c>
      <c r="E54" s="135">
        <f t="shared" si="1"/>
        <v>0</v>
      </c>
      <c r="F54" s="136">
        <v>500</v>
      </c>
      <c r="G54" s="136">
        <f t="shared" si="0"/>
        <v>0</v>
      </c>
      <c r="H54" s="63"/>
      <c r="I54" s="60"/>
      <c r="J54" s="42"/>
      <c r="K54" s="133"/>
      <c r="L54" s="68"/>
      <c r="M54" s="70"/>
      <c r="N54" s="51"/>
      <c r="O54" s="52"/>
      <c r="P54" s="52"/>
      <c r="Q54" s="52"/>
    </row>
    <row r="55" spans="1:17" ht="165.6" x14ac:dyDescent="0.3">
      <c r="A55" s="1">
        <v>1</v>
      </c>
      <c r="B55" s="2" t="s">
        <v>30</v>
      </c>
      <c r="C55" s="3" t="s">
        <v>437</v>
      </c>
      <c r="D55" s="134" t="s">
        <v>29</v>
      </c>
      <c r="E55" s="135">
        <f t="shared" si="1"/>
        <v>2</v>
      </c>
      <c r="F55" s="136">
        <v>800</v>
      </c>
      <c r="G55" s="136">
        <f t="shared" si="0"/>
        <v>1600</v>
      </c>
      <c r="H55" s="63"/>
      <c r="I55" s="60"/>
      <c r="J55" s="42">
        <v>2</v>
      </c>
      <c r="K55" s="133"/>
      <c r="L55" s="68"/>
      <c r="M55" s="70"/>
      <c r="N55" s="51"/>
      <c r="O55" s="52"/>
      <c r="P55" s="52"/>
      <c r="Q55" s="52"/>
    </row>
    <row r="56" spans="1:17" ht="165.6" x14ac:dyDescent="0.3">
      <c r="A56" s="1">
        <v>1</v>
      </c>
      <c r="B56" s="2" t="s">
        <v>31</v>
      </c>
      <c r="C56" s="3" t="s">
        <v>32</v>
      </c>
      <c r="D56" s="134" t="s">
        <v>29</v>
      </c>
      <c r="E56" s="135">
        <f t="shared" si="1"/>
        <v>3</v>
      </c>
      <c r="F56" s="136">
        <v>500</v>
      </c>
      <c r="G56" s="136">
        <f t="shared" si="0"/>
        <v>1500</v>
      </c>
      <c r="H56" s="63"/>
      <c r="I56" s="60"/>
      <c r="J56" s="42">
        <v>3</v>
      </c>
      <c r="K56" s="133"/>
      <c r="L56" s="68"/>
      <c r="M56" s="70"/>
      <c r="N56" s="51"/>
      <c r="O56" s="52"/>
      <c r="P56" s="52"/>
      <c r="Q56" s="52"/>
    </row>
    <row r="57" spans="1:17" ht="165.6" x14ac:dyDescent="0.3">
      <c r="A57" s="1">
        <v>1</v>
      </c>
      <c r="B57" s="2" t="s">
        <v>33</v>
      </c>
      <c r="C57" s="3" t="s">
        <v>34</v>
      </c>
      <c r="D57" s="134" t="s">
        <v>29</v>
      </c>
      <c r="E57" s="135">
        <f t="shared" si="1"/>
        <v>0</v>
      </c>
      <c r="F57" s="136">
        <v>3000</v>
      </c>
      <c r="G57" s="136">
        <f t="shared" si="0"/>
        <v>0</v>
      </c>
      <c r="H57" s="63"/>
      <c r="I57" s="60"/>
      <c r="J57" s="42"/>
      <c r="K57" s="133"/>
      <c r="L57" s="68"/>
      <c r="M57" s="70"/>
      <c r="N57" s="51"/>
      <c r="O57" s="52"/>
      <c r="P57" s="52"/>
      <c r="Q57" s="52"/>
    </row>
    <row r="58" spans="1:17" ht="110.4" x14ac:dyDescent="0.3">
      <c r="A58" s="1">
        <v>1</v>
      </c>
      <c r="B58" s="2" t="s">
        <v>35</v>
      </c>
      <c r="C58" s="3" t="s">
        <v>36</v>
      </c>
      <c r="D58" s="134" t="s">
        <v>37</v>
      </c>
      <c r="E58" s="135">
        <f t="shared" si="1"/>
        <v>0.54</v>
      </c>
      <c r="F58" s="136">
        <v>1500</v>
      </c>
      <c r="G58" s="136">
        <f t="shared" si="0"/>
        <v>810</v>
      </c>
      <c r="H58" s="63"/>
      <c r="I58" s="60"/>
      <c r="J58" s="42">
        <v>0.54</v>
      </c>
      <c r="K58" s="133"/>
      <c r="L58" s="68"/>
      <c r="M58" s="70"/>
      <c r="N58" s="51"/>
      <c r="O58" s="52"/>
      <c r="P58" s="52"/>
      <c r="Q58" s="52"/>
    </row>
    <row r="59" spans="1:17" ht="151.80000000000001" x14ac:dyDescent="0.3">
      <c r="A59" s="1">
        <v>1</v>
      </c>
      <c r="B59" s="2" t="s">
        <v>38</v>
      </c>
      <c r="C59" s="3" t="s">
        <v>39</v>
      </c>
      <c r="D59" s="134" t="s">
        <v>37</v>
      </c>
      <c r="E59" s="135">
        <f t="shared" si="1"/>
        <v>0</v>
      </c>
      <c r="F59" s="136">
        <v>2800</v>
      </c>
      <c r="G59" s="136">
        <f t="shared" si="0"/>
        <v>0</v>
      </c>
      <c r="H59" s="63"/>
      <c r="I59" s="60"/>
      <c r="J59" s="42"/>
      <c r="K59" s="133"/>
      <c r="L59" s="68"/>
      <c r="M59" s="70"/>
      <c r="N59" s="51"/>
      <c r="O59" s="52"/>
      <c r="P59" s="52"/>
      <c r="Q59" s="52"/>
    </row>
    <row r="60" spans="1:17" ht="138" x14ac:dyDescent="0.3">
      <c r="A60" s="1">
        <v>1</v>
      </c>
      <c r="B60" s="2" t="s">
        <v>40</v>
      </c>
      <c r="C60" s="3" t="s">
        <v>41</v>
      </c>
      <c r="D60" s="134" t="s">
        <v>37</v>
      </c>
      <c r="E60" s="135">
        <f t="shared" si="1"/>
        <v>0.86199999999999999</v>
      </c>
      <c r="F60" s="136">
        <v>2500</v>
      </c>
      <c r="G60" s="136">
        <f t="shared" si="0"/>
        <v>2155</v>
      </c>
      <c r="H60" s="63"/>
      <c r="I60" s="60"/>
      <c r="J60" s="42">
        <f>0.304+0.282+0.276</f>
        <v>0.86199999999999999</v>
      </c>
      <c r="K60" s="133"/>
      <c r="L60" s="68"/>
      <c r="M60" s="70"/>
      <c r="N60" s="51"/>
      <c r="O60" s="52"/>
      <c r="P60" s="52"/>
      <c r="Q60" s="52"/>
    </row>
    <row r="61" spans="1:17" ht="248.4" x14ac:dyDescent="0.3">
      <c r="A61" s="1">
        <v>1</v>
      </c>
      <c r="B61" s="2" t="s">
        <v>42</v>
      </c>
      <c r="C61" s="3" t="s">
        <v>43</v>
      </c>
      <c r="D61" s="134" t="s">
        <v>25</v>
      </c>
      <c r="E61" s="135">
        <f t="shared" si="1"/>
        <v>191.12</v>
      </c>
      <c r="F61" s="136">
        <v>220</v>
      </c>
      <c r="G61" s="136">
        <f t="shared" si="0"/>
        <v>42046.400000000001</v>
      </c>
      <c r="H61" s="63"/>
      <c r="I61" s="60"/>
      <c r="J61" s="42">
        <f>47.23+23.1+42.12+6.3+43.35+23.1+1.76+2.08+2.08</f>
        <v>191.12</v>
      </c>
      <c r="K61" s="133"/>
      <c r="L61" s="68"/>
      <c r="M61" s="70"/>
      <c r="N61" s="51"/>
      <c r="O61" s="52"/>
      <c r="P61" s="52"/>
      <c r="Q61" s="52"/>
    </row>
    <row r="62" spans="1:17" ht="234.6" x14ac:dyDescent="0.3">
      <c r="A62" s="1">
        <v>1</v>
      </c>
      <c r="B62" s="2" t="s">
        <v>44</v>
      </c>
      <c r="C62" s="3" t="s">
        <v>45</v>
      </c>
      <c r="D62" s="134" t="s">
        <v>25</v>
      </c>
      <c r="E62" s="135">
        <f t="shared" si="1"/>
        <v>0</v>
      </c>
      <c r="F62" s="136">
        <v>130</v>
      </c>
      <c r="G62" s="136">
        <f t="shared" si="0"/>
        <v>0</v>
      </c>
      <c r="H62" s="63"/>
      <c r="I62" s="60"/>
      <c r="J62" s="42"/>
      <c r="K62" s="133"/>
      <c r="L62" s="68"/>
      <c r="M62" s="70"/>
      <c r="N62" s="51"/>
      <c r="O62" s="52"/>
      <c r="P62" s="52"/>
      <c r="Q62" s="52"/>
    </row>
    <row r="63" spans="1:17" ht="193.2" x14ac:dyDescent="0.3">
      <c r="A63" s="1">
        <v>1</v>
      </c>
      <c r="B63" s="2" t="s">
        <v>46</v>
      </c>
      <c r="C63" s="3" t="s">
        <v>47</v>
      </c>
      <c r="D63" s="134" t="s">
        <v>25</v>
      </c>
      <c r="E63" s="135">
        <f t="shared" si="1"/>
        <v>1.07</v>
      </c>
      <c r="F63" s="136">
        <v>1800</v>
      </c>
      <c r="G63" s="136">
        <f t="shared" si="0"/>
        <v>1926</v>
      </c>
      <c r="H63" s="63"/>
      <c r="I63" s="60"/>
      <c r="J63" s="42">
        <f>0.32+0.375+0.375</f>
        <v>1.07</v>
      </c>
      <c r="K63" s="133"/>
      <c r="L63" s="68"/>
      <c r="M63" s="70"/>
      <c r="N63" s="51"/>
      <c r="O63" s="52"/>
      <c r="P63" s="52"/>
      <c r="Q63" s="52"/>
    </row>
    <row r="64" spans="1:17" ht="124.2" x14ac:dyDescent="0.3">
      <c r="A64" s="1">
        <v>1</v>
      </c>
      <c r="B64" s="2" t="s">
        <v>48</v>
      </c>
      <c r="C64" s="3" t="s">
        <v>49</v>
      </c>
      <c r="D64" s="134" t="s">
        <v>37</v>
      </c>
      <c r="E64" s="135">
        <f t="shared" si="1"/>
        <v>1.7999999999999998</v>
      </c>
      <c r="F64" s="136">
        <v>2800</v>
      </c>
      <c r="G64" s="136">
        <f t="shared" si="0"/>
        <v>5039.9999999999991</v>
      </c>
      <c r="H64" s="63"/>
      <c r="I64" s="60"/>
      <c r="J64" s="42">
        <f>0.61+0.61+0.58</f>
        <v>1.7999999999999998</v>
      </c>
      <c r="K64" s="133"/>
      <c r="L64" s="68"/>
      <c r="M64" s="70"/>
      <c r="N64" s="51"/>
      <c r="O64" s="52"/>
      <c r="P64" s="52"/>
      <c r="Q64" s="52"/>
    </row>
    <row r="65" spans="1:17" ht="124.2" x14ac:dyDescent="0.3">
      <c r="A65" s="1">
        <v>1</v>
      </c>
      <c r="B65" s="2" t="s">
        <v>50</v>
      </c>
      <c r="C65" s="3" t="s">
        <v>311</v>
      </c>
      <c r="D65" s="134" t="s">
        <v>25</v>
      </c>
      <c r="E65" s="135">
        <f t="shared" si="1"/>
        <v>0</v>
      </c>
      <c r="F65" s="136">
        <v>1200</v>
      </c>
      <c r="G65" s="136">
        <f t="shared" si="0"/>
        <v>0</v>
      </c>
      <c r="H65" s="63"/>
      <c r="I65" s="60"/>
      <c r="J65" s="42"/>
      <c r="K65" s="133"/>
      <c r="L65" s="68"/>
      <c r="M65" s="70"/>
      <c r="N65" s="51"/>
      <c r="O65" s="52"/>
      <c r="P65" s="52"/>
      <c r="Q65" s="52"/>
    </row>
    <row r="66" spans="1:17" ht="138" x14ac:dyDescent="0.3">
      <c r="A66" s="1">
        <v>1</v>
      </c>
      <c r="B66" s="2" t="s">
        <v>51</v>
      </c>
      <c r="C66" s="3" t="s">
        <v>52</v>
      </c>
      <c r="D66" s="134" t="s">
        <v>25</v>
      </c>
      <c r="E66" s="135">
        <f t="shared" si="1"/>
        <v>92.04</v>
      </c>
      <c r="F66" s="136">
        <v>80</v>
      </c>
      <c r="G66" s="136">
        <f t="shared" si="0"/>
        <v>7363.2000000000007</v>
      </c>
      <c r="H66" s="63"/>
      <c r="I66" s="60"/>
      <c r="J66" s="42">
        <v>92.04</v>
      </c>
      <c r="K66" s="133"/>
      <c r="L66" s="68"/>
      <c r="M66" s="70"/>
      <c r="N66" s="51"/>
      <c r="O66" s="52"/>
      <c r="P66" s="52"/>
      <c r="Q66" s="52"/>
    </row>
    <row r="67" spans="1:17" ht="151.80000000000001" x14ac:dyDescent="0.3">
      <c r="A67" s="1">
        <v>1</v>
      </c>
      <c r="B67" s="2" t="s">
        <v>53</v>
      </c>
      <c r="C67" s="3" t="s">
        <v>54</v>
      </c>
      <c r="D67" s="134" t="s">
        <v>25</v>
      </c>
      <c r="E67" s="135">
        <f t="shared" si="1"/>
        <v>0</v>
      </c>
      <c r="F67" s="136">
        <v>3000</v>
      </c>
      <c r="G67" s="136">
        <f t="shared" si="0"/>
        <v>0</v>
      </c>
      <c r="H67" s="63"/>
      <c r="I67" s="60"/>
      <c r="J67" s="42"/>
      <c r="K67" s="133"/>
      <c r="L67" s="68"/>
      <c r="M67" s="70"/>
      <c r="N67" s="51"/>
      <c r="O67" s="52"/>
      <c r="P67" s="52"/>
      <c r="Q67" s="52"/>
    </row>
    <row r="68" spans="1:17" ht="193.2" x14ac:dyDescent="0.3">
      <c r="A68" s="1">
        <v>1</v>
      </c>
      <c r="B68" s="2" t="s">
        <v>55</v>
      </c>
      <c r="C68" s="3" t="s">
        <v>56</v>
      </c>
      <c r="D68" s="134" t="s">
        <v>29</v>
      </c>
      <c r="E68" s="135">
        <f t="shared" si="1"/>
        <v>0</v>
      </c>
      <c r="F68" s="44">
        <f>27000+3000</f>
        <v>30000</v>
      </c>
      <c r="G68" s="136">
        <f t="shared" si="0"/>
        <v>0</v>
      </c>
      <c r="H68" s="63"/>
      <c r="I68" s="60"/>
      <c r="J68" s="42"/>
      <c r="K68" s="133"/>
      <c r="L68" s="68"/>
      <c r="M68" s="70"/>
      <c r="N68" s="51"/>
      <c r="O68" s="52"/>
      <c r="P68" s="52"/>
      <c r="Q68" s="52"/>
    </row>
    <row r="69" spans="1:17" ht="165.6" x14ac:dyDescent="0.3">
      <c r="A69" s="1">
        <v>1</v>
      </c>
      <c r="B69" s="2" t="s">
        <v>57</v>
      </c>
      <c r="C69" s="45" t="s">
        <v>446</v>
      </c>
      <c r="D69" s="134" t="s">
        <v>25</v>
      </c>
      <c r="E69" s="135">
        <f t="shared" si="1"/>
        <v>0</v>
      </c>
      <c r="F69" s="136">
        <v>30</v>
      </c>
      <c r="G69" s="136">
        <f>$E69*$F69</f>
        <v>0</v>
      </c>
      <c r="H69" s="63"/>
      <c r="I69" s="60"/>
      <c r="J69" s="42"/>
      <c r="K69" s="133"/>
      <c r="L69" s="68"/>
      <c r="M69" s="70"/>
      <c r="N69" s="51"/>
      <c r="O69" s="52"/>
      <c r="P69" s="52"/>
      <c r="Q69" s="52"/>
    </row>
    <row r="70" spans="1:17" ht="69" x14ac:dyDescent="0.3">
      <c r="A70" s="1">
        <v>1</v>
      </c>
      <c r="B70" s="2" t="s">
        <v>58</v>
      </c>
      <c r="C70" s="3" t="s">
        <v>59</v>
      </c>
      <c r="D70" s="134" t="s">
        <v>37</v>
      </c>
      <c r="E70" s="135">
        <f>SUM(H70:N70)*1.15</f>
        <v>14.893190000000001</v>
      </c>
      <c r="F70" s="136">
        <v>500</v>
      </c>
      <c r="G70" s="136">
        <f>$E70*$F70</f>
        <v>7446.5950000000003</v>
      </c>
      <c r="H70" s="63"/>
      <c r="I70" s="60"/>
      <c r="J70" s="42">
        <f>J58+J60+J61*0.05+J63*0.18+J64</f>
        <v>12.950600000000001</v>
      </c>
      <c r="K70" s="133"/>
      <c r="L70" s="68"/>
      <c r="M70" s="70"/>
      <c r="N70" s="51"/>
      <c r="O70" s="52"/>
      <c r="P70" s="52"/>
      <c r="Q70" s="52"/>
    </row>
    <row r="71" spans="1:17" ht="96.6" x14ac:dyDescent="0.3">
      <c r="A71" s="1">
        <v>1</v>
      </c>
      <c r="B71" s="2" t="s">
        <v>60</v>
      </c>
      <c r="C71" s="3" t="s">
        <v>61</v>
      </c>
      <c r="D71" s="134" t="s">
        <v>37</v>
      </c>
      <c r="E71" s="135">
        <f>SUM(H71:N71)*1.15</f>
        <v>14.893190000000001</v>
      </c>
      <c r="F71" s="136">
        <v>300</v>
      </c>
      <c r="G71" s="136">
        <f>$E71*$F71</f>
        <v>4467.9570000000003</v>
      </c>
      <c r="H71" s="63"/>
      <c r="I71" s="60"/>
      <c r="J71" s="42">
        <f>J58+J60+J61*0.05+J63*0.18+J64</f>
        <v>12.950600000000001</v>
      </c>
      <c r="K71" s="133"/>
      <c r="L71" s="68"/>
      <c r="M71" s="70"/>
      <c r="N71" s="51"/>
      <c r="O71" s="52"/>
      <c r="P71" s="52"/>
      <c r="Q71" s="52"/>
    </row>
    <row r="72" spans="1:17" ht="138" customHeight="1" x14ac:dyDescent="0.3">
      <c r="A72" s="22">
        <v>1</v>
      </c>
      <c r="B72" s="2" t="s">
        <v>77</v>
      </c>
      <c r="C72" s="24" t="s">
        <v>9</v>
      </c>
      <c r="D72" s="140" t="s">
        <v>10</v>
      </c>
      <c r="E72" s="135">
        <f>SUM(H72:N72)</f>
        <v>1</v>
      </c>
      <c r="F72" s="138">
        <v>1000</v>
      </c>
      <c r="G72" s="138">
        <f t="shared" ref="G72:G74" si="2">$E72*$F72</f>
        <v>1000</v>
      </c>
      <c r="H72"/>
      <c r="I72"/>
      <c r="J72"/>
      <c r="M72" s="73">
        <v>1</v>
      </c>
    </row>
    <row r="73" spans="1:17" ht="179.4" x14ac:dyDescent="0.3">
      <c r="A73" s="1">
        <v>1</v>
      </c>
      <c r="B73" s="2" t="s">
        <v>78</v>
      </c>
      <c r="C73" s="7" t="s">
        <v>12</v>
      </c>
      <c r="D73" s="134" t="s">
        <v>10</v>
      </c>
      <c r="E73" s="135">
        <f>SUM(H73:N73)</f>
        <v>1</v>
      </c>
      <c r="F73" s="136">
        <v>1000</v>
      </c>
      <c r="G73" s="136">
        <f t="shared" si="2"/>
        <v>1000</v>
      </c>
      <c r="H73"/>
      <c r="I73"/>
      <c r="J73"/>
      <c r="M73" s="73">
        <v>1</v>
      </c>
    </row>
    <row r="74" spans="1:17" ht="151.80000000000001" x14ac:dyDescent="0.3">
      <c r="A74" s="34">
        <v>1</v>
      </c>
      <c r="B74" s="2" t="s">
        <v>79</v>
      </c>
      <c r="C74" s="36" t="s">
        <v>14</v>
      </c>
      <c r="D74" s="139" t="s">
        <v>10</v>
      </c>
      <c r="E74" s="135">
        <f>SUM(H74:N74)</f>
        <v>1</v>
      </c>
      <c r="F74" s="137">
        <v>1500</v>
      </c>
      <c r="G74" s="137">
        <f t="shared" si="2"/>
        <v>1500</v>
      </c>
      <c r="H74"/>
      <c r="I74"/>
      <c r="J74"/>
      <c r="M74" s="73">
        <v>1</v>
      </c>
    </row>
    <row r="75" spans="1:17" x14ac:dyDescent="0.3">
      <c r="A75" s="28" t="s">
        <v>15</v>
      </c>
      <c r="B75" s="29"/>
      <c r="C75" s="46" t="s">
        <v>16</v>
      </c>
      <c r="D75" s="31"/>
      <c r="E75" s="32"/>
      <c r="F75" s="33"/>
      <c r="G75" s="33"/>
      <c r="H75" s="63"/>
      <c r="I75" s="60"/>
      <c r="J75" s="42"/>
      <c r="K75" s="133"/>
      <c r="L75" s="68"/>
      <c r="M75" s="70"/>
      <c r="N75" s="51"/>
      <c r="O75" s="52"/>
      <c r="P75" s="52"/>
      <c r="Q75" s="52"/>
    </row>
    <row r="76" spans="1:17" ht="138" x14ac:dyDescent="0.3">
      <c r="A76" s="1">
        <v>2</v>
      </c>
      <c r="B76" s="2" t="s">
        <v>8</v>
      </c>
      <c r="C76" s="45" t="s">
        <v>312</v>
      </c>
      <c r="D76" s="134" t="s">
        <v>37</v>
      </c>
      <c r="E76" s="135">
        <f>SUM(H76:N76)</f>
        <v>0</v>
      </c>
      <c r="F76" s="136">
        <v>200</v>
      </c>
      <c r="G76" s="136">
        <f>$E76*$F76</f>
        <v>0</v>
      </c>
      <c r="H76" s="63"/>
      <c r="I76" s="60"/>
      <c r="J76" s="42"/>
      <c r="K76" s="133"/>
      <c r="L76" s="68"/>
      <c r="M76" s="70"/>
      <c r="N76" s="51"/>
      <c r="O76" s="52"/>
      <c r="P76" s="52"/>
      <c r="Q76" s="52"/>
    </row>
    <row r="77" spans="1:17" ht="110.4" x14ac:dyDescent="0.3">
      <c r="A77" s="1">
        <v>2</v>
      </c>
      <c r="B77" s="2" t="s">
        <v>11</v>
      </c>
      <c r="C77" s="45" t="s">
        <v>62</v>
      </c>
      <c r="D77" s="134" t="s">
        <v>25</v>
      </c>
      <c r="E77" s="135">
        <f>SUM(H77:N77)</f>
        <v>0</v>
      </c>
      <c r="F77" s="136">
        <v>280</v>
      </c>
      <c r="G77" s="136">
        <f>$E77*$F77</f>
        <v>0</v>
      </c>
      <c r="H77" s="63"/>
      <c r="I77" s="60"/>
      <c r="J77" s="42"/>
      <c r="K77" s="133"/>
      <c r="L77" s="68"/>
      <c r="M77" s="70"/>
      <c r="N77" s="51"/>
      <c r="O77" s="52"/>
      <c r="P77" s="52"/>
      <c r="Q77" s="52"/>
    </row>
    <row r="78" spans="1:17" ht="236.25" customHeight="1" x14ac:dyDescent="0.3">
      <c r="A78" s="1">
        <v>2</v>
      </c>
      <c r="B78" s="2" t="s">
        <v>13</v>
      </c>
      <c r="C78" s="3" t="s">
        <v>17</v>
      </c>
      <c r="D78" s="134" t="s">
        <v>18</v>
      </c>
      <c r="E78" s="135">
        <f>SUM(H78:N78)</f>
        <v>2</v>
      </c>
      <c r="F78" s="136">
        <v>500</v>
      </c>
      <c r="G78" s="136">
        <f t="shared" ref="G78" si="3">$E78*$F78</f>
        <v>1000</v>
      </c>
      <c r="H78"/>
      <c r="I78"/>
      <c r="J78"/>
      <c r="K78" s="99"/>
      <c r="L78" s="66"/>
      <c r="M78" s="73">
        <v>2</v>
      </c>
    </row>
    <row r="79" spans="1:17" x14ac:dyDescent="0.3">
      <c r="A79" s="28" t="s">
        <v>63</v>
      </c>
      <c r="B79" s="29"/>
      <c r="C79" s="46" t="s">
        <v>64</v>
      </c>
      <c r="D79" s="31"/>
      <c r="E79" s="32"/>
      <c r="F79" s="33"/>
      <c r="G79" s="33"/>
      <c r="H79" s="63"/>
      <c r="I79" s="60"/>
      <c r="J79" s="42"/>
      <c r="K79" s="133"/>
      <c r="L79" s="68"/>
      <c r="M79" s="70"/>
      <c r="N79" s="51"/>
      <c r="O79" s="52"/>
      <c r="P79" s="52"/>
      <c r="Q79" s="52"/>
    </row>
    <row r="80" spans="1:17" ht="193.2" x14ac:dyDescent="0.3">
      <c r="A80" s="1">
        <v>3</v>
      </c>
      <c r="B80" s="2" t="s">
        <v>8</v>
      </c>
      <c r="C80" s="45" t="s">
        <v>438</v>
      </c>
      <c r="D80" s="134" t="s">
        <v>25</v>
      </c>
      <c r="E80" s="135">
        <f t="shared" ref="E80:E105" si="4">SUM(H80:N80)</f>
        <v>199.53</v>
      </c>
      <c r="F80" s="136">
        <v>150</v>
      </c>
      <c r="G80" s="136">
        <f t="shared" ref="G80:G93" si="5">$E80*$F80</f>
        <v>29929.5</v>
      </c>
      <c r="H80" s="63"/>
      <c r="I80" s="60"/>
      <c r="J80" s="42">
        <f>92.04+92.04+15.45</f>
        <v>199.53</v>
      </c>
      <c r="K80" s="133"/>
      <c r="L80" s="68"/>
      <c r="M80" s="70"/>
      <c r="N80" s="51"/>
      <c r="O80" s="52">
        <f>170/J80</f>
        <v>0.85200220518217806</v>
      </c>
      <c r="P80" s="52">
        <v>75.5</v>
      </c>
      <c r="Q80" s="52">
        <v>250</v>
      </c>
    </row>
    <row r="81" spans="1:17" ht="234.6" x14ac:dyDescent="0.3">
      <c r="A81" s="1">
        <v>3</v>
      </c>
      <c r="B81" s="2" t="s">
        <v>11</v>
      </c>
      <c r="C81" s="45" t="s">
        <v>65</v>
      </c>
      <c r="D81" s="134" t="s">
        <v>29</v>
      </c>
      <c r="E81" s="135">
        <f t="shared" si="4"/>
        <v>0</v>
      </c>
      <c r="F81" s="136">
        <f>O81+P81</f>
        <v>95</v>
      </c>
      <c r="G81" s="136">
        <f t="shared" si="5"/>
        <v>0</v>
      </c>
      <c r="H81" s="63"/>
      <c r="I81" s="60"/>
      <c r="J81" s="42"/>
      <c r="K81" s="133"/>
      <c r="L81" s="68"/>
      <c r="M81" s="70"/>
      <c r="N81" s="51"/>
      <c r="O81" s="52">
        <v>15</v>
      </c>
      <c r="P81" s="52">
        <v>80</v>
      </c>
      <c r="Q81" s="52">
        <v>120</v>
      </c>
    </row>
    <row r="82" spans="1:17" ht="220.8" x14ac:dyDescent="0.3">
      <c r="A82" s="1">
        <v>3</v>
      </c>
      <c r="B82" s="2" t="s">
        <v>13</v>
      </c>
      <c r="C82" s="3" t="s">
        <v>66</v>
      </c>
      <c r="D82" s="134" t="s">
        <v>25</v>
      </c>
      <c r="E82" s="135">
        <f t="shared" si="4"/>
        <v>147.60000000000002</v>
      </c>
      <c r="F82" s="136">
        <v>90</v>
      </c>
      <c r="G82" s="136">
        <f t="shared" si="5"/>
        <v>13284.000000000002</v>
      </c>
      <c r="H82" s="63"/>
      <c r="I82" s="60"/>
      <c r="J82" s="42">
        <f>48.4+52.28+46.92</f>
        <v>147.60000000000002</v>
      </c>
      <c r="K82" s="133"/>
      <c r="L82" s="68"/>
      <c r="M82" s="70"/>
      <c r="N82" s="51"/>
      <c r="O82" s="52"/>
      <c r="P82" s="52">
        <v>70</v>
      </c>
      <c r="Q82" s="52">
        <v>180</v>
      </c>
    </row>
    <row r="83" spans="1:17" ht="234.6" x14ac:dyDescent="0.3">
      <c r="A83" s="1">
        <v>3</v>
      </c>
      <c r="B83" s="2" t="s">
        <v>26</v>
      </c>
      <c r="C83" s="3" t="s">
        <v>67</v>
      </c>
      <c r="D83" s="134" t="s">
        <v>25</v>
      </c>
      <c r="E83" s="135">
        <f t="shared" si="4"/>
        <v>52.5</v>
      </c>
      <c r="F83" s="136">
        <v>90</v>
      </c>
      <c r="G83" s="136">
        <f t="shared" si="5"/>
        <v>4725</v>
      </c>
      <c r="H83" s="63"/>
      <c r="I83" s="60"/>
      <c r="J83" s="42">
        <f>23.1+23.1+6.3</f>
        <v>52.5</v>
      </c>
      <c r="K83" s="133"/>
      <c r="L83" s="68"/>
      <c r="M83" s="70"/>
      <c r="N83" s="51"/>
      <c r="O83" s="52"/>
      <c r="P83" s="52">
        <v>70</v>
      </c>
      <c r="Q83" s="52">
        <v>220</v>
      </c>
    </row>
    <row r="84" spans="1:17" ht="317.39999999999998" x14ac:dyDescent="0.3">
      <c r="A84" s="1">
        <v>3</v>
      </c>
      <c r="B84" s="2" t="s">
        <v>28</v>
      </c>
      <c r="C84" s="3" t="s">
        <v>447</v>
      </c>
      <c r="D84" s="134" t="s">
        <v>29</v>
      </c>
      <c r="E84" s="135">
        <f t="shared" si="4"/>
        <v>90</v>
      </c>
      <c r="F84" s="44">
        <v>320</v>
      </c>
      <c r="G84" s="136">
        <f>$E84*$F84</f>
        <v>28800</v>
      </c>
      <c r="H84" s="63"/>
      <c r="I84" s="60"/>
      <c r="J84" s="42">
        <v>90</v>
      </c>
      <c r="K84" s="133"/>
      <c r="L84" s="68"/>
      <c r="M84" s="70"/>
      <c r="N84" s="51"/>
      <c r="O84" s="52"/>
      <c r="P84" s="52"/>
      <c r="Q84" s="52"/>
    </row>
    <row r="85" spans="1:17" ht="345" x14ac:dyDescent="0.3">
      <c r="A85" s="1">
        <v>3</v>
      </c>
      <c r="B85" s="2" t="s">
        <v>30</v>
      </c>
      <c r="C85" s="3" t="s">
        <v>448</v>
      </c>
      <c r="D85" s="134" t="s">
        <v>25</v>
      </c>
      <c r="E85" s="135">
        <f t="shared" si="4"/>
        <v>147.60000000000002</v>
      </c>
      <c r="F85" s="44">
        <v>1600</v>
      </c>
      <c r="G85" s="136">
        <f>$E85*$F85</f>
        <v>236160.00000000003</v>
      </c>
      <c r="H85" s="63"/>
      <c r="I85" s="60"/>
      <c r="J85" s="42">
        <f>48.4+52.28+46.92</f>
        <v>147.60000000000002</v>
      </c>
      <c r="K85" s="133"/>
      <c r="L85" s="68"/>
      <c r="M85" s="70"/>
      <c r="N85" s="51"/>
      <c r="O85" s="52"/>
      <c r="P85" s="52"/>
      <c r="Q85" s="52"/>
    </row>
    <row r="86" spans="1:17" ht="248.4" x14ac:dyDescent="0.3">
      <c r="A86" s="1">
        <v>3</v>
      </c>
      <c r="B86" s="2" t="s">
        <v>31</v>
      </c>
      <c r="C86" s="3" t="s">
        <v>68</v>
      </c>
      <c r="D86" s="134" t="s">
        <v>18</v>
      </c>
      <c r="E86" s="135">
        <f t="shared" si="4"/>
        <v>170</v>
      </c>
      <c r="F86" s="44">
        <v>1200</v>
      </c>
      <c r="G86" s="136">
        <f t="shared" si="5"/>
        <v>204000</v>
      </c>
      <c r="H86" s="63"/>
      <c r="I86" s="60"/>
      <c r="J86" s="42">
        <f>74.8+74.8+20.4</f>
        <v>170</v>
      </c>
      <c r="K86" s="133"/>
      <c r="L86" s="68"/>
      <c r="M86" s="70"/>
      <c r="N86" s="51"/>
      <c r="O86" s="52"/>
      <c r="P86" s="52"/>
      <c r="Q86" s="52"/>
    </row>
    <row r="87" spans="1:17" ht="193.2" x14ac:dyDescent="0.3">
      <c r="A87" s="1">
        <v>3</v>
      </c>
      <c r="B87" s="2" t="s">
        <v>33</v>
      </c>
      <c r="C87" s="3" t="s">
        <v>69</v>
      </c>
      <c r="D87" s="134" t="s">
        <v>29</v>
      </c>
      <c r="E87" s="135">
        <f t="shared" si="4"/>
        <v>556</v>
      </c>
      <c r="F87" s="44">
        <v>15</v>
      </c>
      <c r="G87" s="136">
        <f t="shared" si="5"/>
        <v>8340</v>
      </c>
      <c r="H87" s="63"/>
      <c r="I87" s="60"/>
      <c r="J87" s="42">
        <v>556</v>
      </c>
      <c r="K87" s="133"/>
      <c r="L87" s="68"/>
      <c r="M87" s="70"/>
      <c r="N87" s="51"/>
      <c r="O87" s="52"/>
      <c r="P87" s="52"/>
      <c r="Q87" s="52"/>
    </row>
    <row r="88" spans="1:17" ht="193.2" x14ac:dyDescent="0.3">
      <c r="A88" s="1">
        <v>3</v>
      </c>
      <c r="B88" s="2" t="s">
        <v>35</v>
      </c>
      <c r="C88" s="3" t="s">
        <v>70</v>
      </c>
      <c r="D88" s="134" t="s">
        <v>71</v>
      </c>
      <c r="E88" s="135">
        <f t="shared" si="4"/>
        <v>606.49</v>
      </c>
      <c r="F88" s="136">
        <v>12</v>
      </c>
      <c r="G88" s="136">
        <f t="shared" si="5"/>
        <v>7277.88</v>
      </c>
      <c r="H88" s="63"/>
      <c r="I88" s="60"/>
      <c r="J88" s="42">
        <v>606.49</v>
      </c>
      <c r="K88" s="133"/>
      <c r="L88" s="68"/>
      <c r="M88" s="70"/>
      <c r="N88" s="51"/>
      <c r="O88" s="52">
        <f>5*1.3</f>
        <v>6.5</v>
      </c>
      <c r="P88" s="52">
        <f>14*1.3</f>
        <v>18.2</v>
      </c>
      <c r="Q88" s="52">
        <v>12</v>
      </c>
    </row>
    <row r="89" spans="1:17" ht="165.6" x14ac:dyDescent="0.3">
      <c r="A89" s="1">
        <v>3</v>
      </c>
      <c r="B89" s="2" t="s">
        <v>38</v>
      </c>
      <c r="C89" s="3" t="s">
        <v>72</v>
      </c>
      <c r="D89" s="134" t="s">
        <v>71</v>
      </c>
      <c r="E89" s="135">
        <f t="shared" si="4"/>
        <v>0</v>
      </c>
      <c r="F89" s="136">
        <v>12</v>
      </c>
      <c r="G89" s="136">
        <f t="shared" si="5"/>
        <v>0</v>
      </c>
      <c r="H89" s="63"/>
      <c r="I89" s="60"/>
      <c r="J89" s="42"/>
      <c r="K89" s="133"/>
      <c r="L89" s="68"/>
      <c r="M89" s="70"/>
      <c r="N89" s="51"/>
      <c r="O89" s="52">
        <f>6*1.3</f>
        <v>7.8000000000000007</v>
      </c>
      <c r="P89" s="52">
        <f>10*1.3</f>
        <v>13</v>
      </c>
      <c r="Q89" s="52">
        <v>12</v>
      </c>
    </row>
    <row r="90" spans="1:17" ht="110.4" x14ac:dyDescent="0.3">
      <c r="A90" s="1">
        <v>3</v>
      </c>
      <c r="B90" s="2" t="s">
        <v>40</v>
      </c>
      <c r="C90" s="3" t="s">
        <v>73</v>
      </c>
      <c r="D90" s="134" t="s">
        <v>25</v>
      </c>
      <c r="E90" s="135">
        <f t="shared" si="4"/>
        <v>29.119999999999997</v>
      </c>
      <c r="F90" s="136">
        <v>250</v>
      </c>
      <c r="G90" s="136">
        <f t="shared" si="5"/>
        <v>7279.9999999999991</v>
      </c>
      <c r="H90" s="63"/>
      <c r="I90" s="60"/>
      <c r="J90" s="42">
        <f>6.72+11.2+11.2</f>
        <v>29.119999999999997</v>
      </c>
      <c r="K90" s="133"/>
      <c r="L90" s="68"/>
      <c r="M90" s="70"/>
      <c r="N90" s="51"/>
      <c r="O90" s="52">
        <f>20*1.3</f>
        <v>26</v>
      </c>
      <c r="P90" s="52">
        <f>130*1.3</f>
        <v>169</v>
      </c>
      <c r="Q90" s="52">
        <v>250</v>
      </c>
    </row>
    <row r="91" spans="1:17" ht="110.4" x14ac:dyDescent="0.3">
      <c r="A91" s="1">
        <v>3</v>
      </c>
      <c r="B91" s="2" t="s">
        <v>42</v>
      </c>
      <c r="C91" s="3" t="s">
        <v>74</v>
      </c>
      <c r="D91" s="134" t="s">
        <v>25</v>
      </c>
      <c r="E91" s="135">
        <f t="shared" si="4"/>
        <v>0</v>
      </c>
      <c r="F91" s="136">
        <v>300</v>
      </c>
      <c r="G91" s="136">
        <f t="shared" si="5"/>
        <v>0</v>
      </c>
      <c r="H91" s="63"/>
      <c r="I91" s="60"/>
      <c r="J91" s="42"/>
      <c r="K91" s="133"/>
      <c r="L91" s="68"/>
      <c r="M91" s="70"/>
      <c r="N91" s="51"/>
      <c r="O91" s="52">
        <f>20*1.3</f>
        <v>26</v>
      </c>
      <c r="P91" s="52">
        <f>140*1.3</f>
        <v>182</v>
      </c>
      <c r="Q91" s="52">
        <v>300</v>
      </c>
    </row>
    <row r="92" spans="1:17" ht="138" x14ac:dyDescent="0.3">
      <c r="A92" s="1">
        <v>3</v>
      </c>
      <c r="B92" s="2" t="s">
        <v>44</v>
      </c>
      <c r="C92" s="3" t="s">
        <v>75</v>
      </c>
      <c r="D92" s="134" t="s">
        <v>37</v>
      </c>
      <c r="E92" s="135">
        <f t="shared" si="4"/>
        <v>2.9120000000000004</v>
      </c>
      <c r="F92" s="136">
        <v>1450</v>
      </c>
      <c r="G92" s="136">
        <f t="shared" si="5"/>
        <v>4222.4000000000005</v>
      </c>
      <c r="H92" s="63"/>
      <c r="I92" s="60"/>
      <c r="J92" s="42">
        <f>0.672+1.12+1.12</f>
        <v>2.9120000000000004</v>
      </c>
      <c r="K92" s="133"/>
      <c r="L92" s="68"/>
      <c r="M92" s="70"/>
      <c r="N92" s="51"/>
      <c r="O92" s="52">
        <f>570*1.3</f>
        <v>741</v>
      </c>
      <c r="P92" s="52">
        <f>200*1.3</f>
        <v>260</v>
      </c>
      <c r="Q92" s="52">
        <v>1800</v>
      </c>
    </row>
    <row r="93" spans="1:17" ht="151.80000000000001" x14ac:dyDescent="0.3">
      <c r="A93" s="1">
        <v>3</v>
      </c>
      <c r="B93" s="2" t="s">
        <v>46</v>
      </c>
      <c r="C93" s="3" t="s">
        <v>76</v>
      </c>
      <c r="D93" s="134" t="s">
        <v>37</v>
      </c>
      <c r="E93" s="135">
        <f t="shared" si="4"/>
        <v>0</v>
      </c>
      <c r="F93" s="136">
        <v>1600</v>
      </c>
      <c r="G93" s="136">
        <f t="shared" si="5"/>
        <v>0</v>
      </c>
      <c r="H93" s="63"/>
      <c r="I93" s="60"/>
      <c r="J93" s="42"/>
      <c r="K93" s="133"/>
      <c r="L93" s="68"/>
      <c r="M93" s="70"/>
      <c r="N93" s="51"/>
      <c r="O93" s="52">
        <f>470*1.3</f>
        <v>611</v>
      </c>
      <c r="P93" s="52">
        <f>200*1.3</f>
        <v>260</v>
      </c>
      <c r="Q93" s="52">
        <v>1900</v>
      </c>
    </row>
    <row r="94" spans="1:17" ht="179.4" x14ac:dyDescent="0.3">
      <c r="A94" s="1">
        <v>3</v>
      </c>
      <c r="B94" s="2" t="s">
        <v>48</v>
      </c>
      <c r="C94" s="45" t="s">
        <v>313</v>
      </c>
      <c r="D94" s="134" t="s">
        <v>29</v>
      </c>
      <c r="E94" s="47">
        <f t="shared" si="4"/>
        <v>0</v>
      </c>
      <c r="F94" s="136">
        <f t="shared" ref="F94:F104" si="6">O94</f>
        <v>22000</v>
      </c>
      <c r="G94" s="136">
        <f>$E94*$F94</f>
        <v>0</v>
      </c>
      <c r="H94" s="63"/>
      <c r="I94" s="60"/>
      <c r="J94" s="42"/>
      <c r="K94" s="133"/>
      <c r="L94" s="68"/>
      <c r="M94" s="70"/>
      <c r="N94" s="51"/>
      <c r="O94" s="52">
        <f>22000</f>
        <v>22000</v>
      </c>
      <c r="P94" s="52"/>
      <c r="Q94" s="52">
        <v>9000</v>
      </c>
    </row>
    <row r="95" spans="1:17" ht="179.4" x14ac:dyDescent="0.3">
      <c r="A95" s="1">
        <v>3</v>
      </c>
      <c r="B95" s="2" t="s">
        <v>50</v>
      </c>
      <c r="C95" s="45" t="s">
        <v>314</v>
      </c>
      <c r="D95" s="134" t="s">
        <v>29</v>
      </c>
      <c r="E95" s="47">
        <f t="shared" si="4"/>
        <v>0</v>
      </c>
      <c r="F95" s="136">
        <f t="shared" si="6"/>
        <v>14520</v>
      </c>
      <c r="G95" s="136">
        <f t="shared" ref="G95:G105" si="7">$E95*$F95</f>
        <v>0</v>
      </c>
      <c r="H95" s="63"/>
      <c r="I95" s="60"/>
      <c r="J95" s="42"/>
      <c r="K95" s="133"/>
      <c r="L95" s="68"/>
      <c r="M95" s="70"/>
      <c r="N95" s="51"/>
      <c r="O95" s="52">
        <f>12100*1.2</f>
        <v>14520</v>
      </c>
      <c r="P95" s="52"/>
      <c r="Q95" s="52">
        <v>9000</v>
      </c>
    </row>
    <row r="96" spans="1:17" ht="179.4" x14ac:dyDescent="0.3">
      <c r="A96" s="1">
        <v>3</v>
      </c>
      <c r="B96" s="2" t="s">
        <v>51</v>
      </c>
      <c r="C96" s="45" t="s">
        <v>315</v>
      </c>
      <c r="D96" s="134" t="s">
        <v>29</v>
      </c>
      <c r="E96" s="47">
        <f t="shared" si="4"/>
        <v>0</v>
      </c>
      <c r="F96" s="136">
        <f t="shared" si="6"/>
        <v>12000</v>
      </c>
      <c r="G96" s="136">
        <f t="shared" si="7"/>
        <v>0</v>
      </c>
      <c r="H96" s="63"/>
      <c r="I96" s="60"/>
      <c r="J96" s="42"/>
      <c r="K96" s="133"/>
      <c r="L96" s="68"/>
      <c r="M96" s="70"/>
      <c r="N96" s="51"/>
      <c r="O96" s="52">
        <f>12000</f>
        <v>12000</v>
      </c>
      <c r="P96" s="52"/>
      <c r="Q96" s="52">
        <v>9000</v>
      </c>
    </row>
    <row r="97" spans="1:17" ht="179.4" x14ac:dyDescent="0.3">
      <c r="A97" s="1">
        <v>3</v>
      </c>
      <c r="B97" s="2" t="s">
        <v>53</v>
      </c>
      <c r="C97" s="45" t="s">
        <v>316</v>
      </c>
      <c r="D97" s="134" t="s">
        <v>29</v>
      </c>
      <c r="E97" s="135">
        <f t="shared" si="4"/>
        <v>0</v>
      </c>
      <c r="F97" s="136">
        <f t="shared" si="6"/>
        <v>10500</v>
      </c>
      <c r="G97" s="136">
        <f t="shared" si="7"/>
        <v>0</v>
      </c>
      <c r="H97" s="63"/>
      <c r="I97" s="60"/>
      <c r="J97" s="42"/>
      <c r="K97" s="133"/>
      <c r="L97" s="68"/>
      <c r="M97" s="70"/>
      <c r="N97" s="51"/>
      <c r="O97" s="52">
        <f>10500</f>
        <v>10500</v>
      </c>
      <c r="P97" s="52"/>
      <c r="Q97" s="52">
        <v>5000</v>
      </c>
    </row>
    <row r="98" spans="1:17" ht="151.80000000000001" x14ac:dyDescent="0.3">
      <c r="A98" s="1">
        <v>3</v>
      </c>
      <c r="B98" s="2" t="s">
        <v>55</v>
      </c>
      <c r="C98" s="45" t="s">
        <v>317</v>
      </c>
      <c r="D98" s="134" t="s">
        <v>29</v>
      </c>
      <c r="E98" s="135">
        <f t="shared" si="4"/>
        <v>0</v>
      </c>
      <c r="F98" s="136">
        <f t="shared" si="6"/>
        <v>6000</v>
      </c>
      <c r="G98" s="136">
        <f t="shared" si="7"/>
        <v>0</v>
      </c>
      <c r="H98" s="63"/>
      <c r="I98" s="60"/>
      <c r="J98" s="42"/>
      <c r="K98" s="133"/>
      <c r="L98" s="68"/>
      <c r="M98" s="70"/>
      <c r="N98" s="51"/>
      <c r="O98" s="52">
        <v>6000</v>
      </c>
      <c r="P98" s="52"/>
      <c r="Q98" s="52">
        <v>5000</v>
      </c>
    </row>
    <row r="99" spans="1:17" ht="179.4" x14ac:dyDescent="0.3">
      <c r="A99" s="1">
        <v>3</v>
      </c>
      <c r="B99" s="2" t="s">
        <v>57</v>
      </c>
      <c r="C99" s="45" t="s">
        <v>322</v>
      </c>
      <c r="D99" s="134" t="s">
        <v>29</v>
      </c>
      <c r="E99" s="135">
        <f t="shared" si="4"/>
        <v>0</v>
      </c>
      <c r="F99" s="136">
        <f t="shared" si="6"/>
        <v>10000</v>
      </c>
      <c r="G99" s="136">
        <f t="shared" si="7"/>
        <v>0</v>
      </c>
      <c r="H99" s="63"/>
      <c r="I99" s="60"/>
      <c r="J99" s="42"/>
      <c r="K99" s="133"/>
      <c r="L99" s="68"/>
      <c r="M99" s="70"/>
      <c r="N99" s="51"/>
      <c r="O99" s="52">
        <v>10000</v>
      </c>
      <c r="P99" s="52"/>
      <c r="Q99" s="52">
        <v>5000</v>
      </c>
    </row>
    <row r="100" spans="1:17" ht="179.4" x14ac:dyDescent="0.3">
      <c r="A100" s="1">
        <v>3</v>
      </c>
      <c r="B100" s="2" t="s">
        <v>58</v>
      </c>
      <c r="C100" s="45" t="s">
        <v>318</v>
      </c>
      <c r="D100" s="134" t="s">
        <v>29</v>
      </c>
      <c r="E100" s="135">
        <f t="shared" si="4"/>
        <v>0</v>
      </c>
      <c r="F100" s="136">
        <f t="shared" si="6"/>
        <v>13000</v>
      </c>
      <c r="G100" s="136">
        <f t="shared" si="7"/>
        <v>0</v>
      </c>
      <c r="H100" s="63"/>
      <c r="I100" s="60"/>
      <c r="J100" s="42"/>
      <c r="K100" s="133"/>
      <c r="L100" s="68"/>
      <c r="M100" s="70"/>
      <c r="N100" s="51"/>
      <c r="O100" s="52">
        <v>13000</v>
      </c>
      <c r="P100" s="52"/>
      <c r="Q100" s="52">
        <v>5000</v>
      </c>
    </row>
    <row r="101" spans="1:17" ht="179.4" x14ac:dyDescent="0.3">
      <c r="A101" s="1">
        <v>3</v>
      </c>
      <c r="B101" s="2" t="s">
        <v>60</v>
      </c>
      <c r="C101" s="45" t="s">
        <v>319</v>
      </c>
      <c r="D101" s="134" t="s">
        <v>29</v>
      </c>
      <c r="E101" s="135">
        <f t="shared" si="4"/>
        <v>0</v>
      </c>
      <c r="F101" s="136">
        <f t="shared" si="6"/>
        <v>12500</v>
      </c>
      <c r="G101" s="136">
        <f t="shared" si="7"/>
        <v>0</v>
      </c>
      <c r="H101" s="63"/>
      <c r="I101" s="60"/>
      <c r="J101" s="42"/>
      <c r="K101" s="133"/>
      <c r="L101" s="68"/>
      <c r="M101" s="70"/>
      <c r="N101" s="51"/>
      <c r="O101" s="52">
        <v>12500</v>
      </c>
      <c r="P101" s="52"/>
      <c r="Q101" s="52">
        <v>5000</v>
      </c>
    </row>
    <row r="102" spans="1:17" ht="179.4" x14ac:dyDescent="0.3">
      <c r="A102" s="1">
        <v>3</v>
      </c>
      <c r="B102" s="2" t="s">
        <v>77</v>
      </c>
      <c r="C102" s="45" t="s">
        <v>321</v>
      </c>
      <c r="D102" s="134" t="s">
        <v>29</v>
      </c>
      <c r="E102" s="135">
        <f t="shared" si="4"/>
        <v>0</v>
      </c>
      <c r="F102" s="136">
        <f t="shared" si="6"/>
        <v>9000</v>
      </c>
      <c r="G102" s="136">
        <f t="shared" si="7"/>
        <v>0</v>
      </c>
      <c r="H102" s="63"/>
      <c r="I102" s="60"/>
      <c r="J102" s="42"/>
      <c r="K102" s="133"/>
      <c r="L102" s="68"/>
      <c r="M102" s="70"/>
      <c r="N102" s="51"/>
      <c r="O102" s="52">
        <v>9000</v>
      </c>
      <c r="P102" s="52"/>
      <c r="Q102" s="52">
        <v>5000</v>
      </c>
    </row>
    <row r="103" spans="1:17" ht="179.4" x14ac:dyDescent="0.3">
      <c r="A103" s="1">
        <v>3</v>
      </c>
      <c r="B103" s="2" t="s">
        <v>78</v>
      </c>
      <c r="C103" s="45" t="s">
        <v>320</v>
      </c>
      <c r="D103" s="134" t="s">
        <v>29</v>
      </c>
      <c r="E103" s="135">
        <f t="shared" si="4"/>
        <v>0</v>
      </c>
      <c r="F103" s="136">
        <f t="shared" si="6"/>
        <v>11700</v>
      </c>
      <c r="G103" s="136">
        <f t="shared" si="7"/>
        <v>0</v>
      </c>
      <c r="H103" s="63"/>
      <c r="I103" s="60"/>
      <c r="J103" s="42"/>
      <c r="K103" s="133"/>
      <c r="L103" s="68"/>
      <c r="M103" s="70"/>
      <c r="N103" s="51"/>
      <c r="O103" s="52">
        <f>9000*1.3</f>
        <v>11700</v>
      </c>
      <c r="P103" s="52"/>
      <c r="Q103" s="52">
        <v>5000</v>
      </c>
    </row>
    <row r="104" spans="1:17" ht="138" x14ac:dyDescent="0.3">
      <c r="A104" s="1">
        <v>3</v>
      </c>
      <c r="B104" s="2" t="s">
        <v>79</v>
      </c>
      <c r="C104" s="45" t="s">
        <v>80</v>
      </c>
      <c r="D104" s="134" t="s">
        <v>29</v>
      </c>
      <c r="E104" s="135">
        <f t="shared" si="4"/>
        <v>0</v>
      </c>
      <c r="F104" s="136">
        <f t="shared" si="6"/>
        <v>3960</v>
      </c>
      <c r="G104" s="136">
        <f t="shared" si="7"/>
        <v>0</v>
      </c>
      <c r="H104" s="63"/>
      <c r="I104" s="60"/>
      <c r="J104" s="42"/>
      <c r="K104" s="133"/>
      <c r="L104" s="68"/>
      <c r="M104" s="70"/>
      <c r="N104" s="51"/>
      <c r="O104" s="52">
        <f>3300*1.2</f>
        <v>3960</v>
      </c>
      <c r="P104" s="52"/>
      <c r="Q104" s="52">
        <v>5000</v>
      </c>
    </row>
    <row r="105" spans="1:17" ht="124.2" x14ac:dyDescent="0.3">
      <c r="A105" s="1">
        <v>3</v>
      </c>
      <c r="B105" s="2" t="s">
        <v>81</v>
      </c>
      <c r="C105" s="45" t="s">
        <v>82</v>
      </c>
      <c r="D105" s="134" t="s">
        <v>10</v>
      </c>
      <c r="E105" s="135">
        <f t="shared" si="4"/>
        <v>0</v>
      </c>
      <c r="F105" s="44">
        <v>82800</v>
      </c>
      <c r="G105" s="136">
        <f t="shared" si="7"/>
        <v>0</v>
      </c>
      <c r="H105" s="63"/>
      <c r="I105" s="60"/>
      <c r="J105" s="42"/>
      <c r="K105" s="133"/>
      <c r="L105" s="68"/>
      <c r="M105" s="70"/>
      <c r="N105" s="51"/>
      <c r="O105" s="52">
        <f>15.55*3.55*1500</f>
        <v>82803.75</v>
      </c>
      <c r="P105" s="52"/>
      <c r="Q105" s="52">
        <v>18000</v>
      </c>
    </row>
    <row r="106" spans="1:17" x14ac:dyDescent="0.3">
      <c r="A106" s="28" t="s">
        <v>83</v>
      </c>
      <c r="B106" s="29"/>
      <c r="C106" s="46" t="s">
        <v>84</v>
      </c>
      <c r="D106" s="31"/>
      <c r="E106" s="32"/>
      <c r="F106" s="33"/>
      <c r="G106" s="33"/>
      <c r="H106" s="63"/>
      <c r="I106" s="60"/>
      <c r="J106" s="42"/>
      <c r="K106" s="133"/>
      <c r="L106" s="68"/>
      <c r="M106" s="70"/>
      <c r="N106" s="51"/>
      <c r="O106" s="52"/>
      <c r="P106" s="52"/>
      <c r="Q106" s="52"/>
    </row>
    <row r="107" spans="1:17" ht="151.80000000000001" x14ac:dyDescent="0.3">
      <c r="A107" s="1">
        <v>4</v>
      </c>
      <c r="B107" s="2" t="s">
        <v>8</v>
      </c>
      <c r="C107" s="3" t="s">
        <v>85</v>
      </c>
      <c r="D107" s="134" t="s">
        <v>25</v>
      </c>
      <c r="E107" s="135">
        <f>SUM(H107:N107)</f>
        <v>15</v>
      </c>
      <c r="F107" s="136">
        <v>216</v>
      </c>
      <c r="G107" s="136">
        <f>$E107*$F107</f>
        <v>3240</v>
      </c>
      <c r="H107" s="63"/>
      <c r="I107" s="60"/>
      <c r="J107" s="42">
        <f>5.1+5.1+4.8</f>
        <v>15</v>
      </c>
      <c r="K107" s="133"/>
      <c r="L107" s="68"/>
      <c r="M107" s="70"/>
      <c r="N107" s="51"/>
      <c r="O107" s="52">
        <f>100*1.3+200*1.3+2*1.3+50*1.3</f>
        <v>457.6</v>
      </c>
      <c r="P107" s="52"/>
      <c r="Q107" s="52">
        <v>90</v>
      </c>
    </row>
    <row r="108" spans="1:17" ht="179.4" x14ac:dyDescent="0.3">
      <c r="A108" s="1">
        <v>4</v>
      </c>
      <c r="B108" s="2" t="s">
        <v>11</v>
      </c>
      <c r="C108" s="3" t="s">
        <v>86</v>
      </c>
      <c r="D108" s="134" t="s">
        <v>25</v>
      </c>
      <c r="E108" s="135">
        <f>SUM(H108:N108)</f>
        <v>0</v>
      </c>
      <c r="F108" s="136">
        <v>300</v>
      </c>
      <c r="G108" s="136">
        <f>$E108*$F108</f>
        <v>0</v>
      </c>
      <c r="H108" s="63"/>
      <c r="I108" s="60"/>
      <c r="J108" s="42"/>
      <c r="K108" s="133"/>
      <c r="L108" s="68"/>
      <c r="M108" s="70"/>
      <c r="N108" s="51"/>
      <c r="O108" s="52"/>
      <c r="P108" s="52">
        <f>120*1.3</f>
        <v>156</v>
      </c>
      <c r="Q108" s="52">
        <v>210</v>
      </c>
    </row>
    <row r="109" spans="1:17" s="52" customFormat="1" ht="248.4" x14ac:dyDescent="0.3">
      <c r="A109" s="8">
        <v>4</v>
      </c>
      <c r="B109" s="9" t="s">
        <v>13</v>
      </c>
      <c r="C109" s="83" t="s">
        <v>138</v>
      </c>
      <c r="D109" s="11" t="s">
        <v>18</v>
      </c>
      <c r="E109" s="135">
        <f>SUM(H109:N109)</f>
        <v>0</v>
      </c>
      <c r="F109" s="14">
        <v>450</v>
      </c>
      <c r="G109" s="14">
        <f t="shared" ref="G109" si="8">$E109*$F109</f>
        <v>0</v>
      </c>
      <c r="H109" s="81"/>
      <c r="I109" s="40"/>
      <c r="J109" s="41"/>
      <c r="K109" s="133"/>
      <c r="L109" s="43"/>
      <c r="N109" s="53"/>
      <c r="O109" s="52">
        <v>200</v>
      </c>
    </row>
    <row r="110" spans="1:17" x14ac:dyDescent="0.3">
      <c r="A110" s="28" t="s">
        <v>87</v>
      </c>
      <c r="B110" s="29"/>
      <c r="C110" s="46" t="s">
        <v>88</v>
      </c>
      <c r="D110" s="31"/>
      <c r="E110" s="32"/>
      <c r="F110" s="33"/>
      <c r="G110" s="33"/>
      <c r="H110" s="63"/>
      <c r="I110" s="60"/>
      <c r="J110" s="42"/>
      <c r="K110" s="133"/>
      <c r="L110" s="68"/>
      <c r="M110" s="70"/>
      <c r="N110" s="51"/>
      <c r="O110" s="52"/>
      <c r="P110" s="52"/>
      <c r="Q110" s="52"/>
    </row>
    <row r="111" spans="1:17" ht="207" x14ac:dyDescent="0.3">
      <c r="A111" s="1">
        <v>5</v>
      </c>
      <c r="B111" s="2" t="s">
        <v>8</v>
      </c>
      <c r="C111" s="3" t="s">
        <v>89</v>
      </c>
      <c r="D111" s="134" t="s">
        <v>25</v>
      </c>
      <c r="E111" s="135">
        <f t="shared" ref="E111:E117" si="9">SUM(H111:N111)</f>
        <v>0</v>
      </c>
      <c r="F111" s="136">
        <v>210</v>
      </c>
      <c r="G111" s="136">
        <f>$E111*$F111</f>
        <v>0</v>
      </c>
      <c r="H111" s="63"/>
      <c r="I111" s="60"/>
      <c r="J111" s="42"/>
      <c r="K111" s="133"/>
      <c r="L111" s="68"/>
      <c r="M111" s="70"/>
      <c r="N111" s="51"/>
      <c r="O111" s="52"/>
      <c r="P111" s="52">
        <f>120*1.3</f>
        <v>156</v>
      </c>
      <c r="Q111" s="52">
        <v>210</v>
      </c>
    </row>
    <row r="112" spans="1:17" ht="207" x14ac:dyDescent="0.3">
      <c r="A112" s="1">
        <v>5</v>
      </c>
      <c r="B112" s="2" t="s">
        <v>11</v>
      </c>
      <c r="C112" s="3" t="s">
        <v>440</v>
      </c>
      <c r="D112" s="134" t="s">
        <v>25</v>
      </c>
      <c r="E112" s="135">
        <f t="shared" si="9"/>
        <v>146.57</v>
      </c>
      <c r="F112" s="136">
        <f>P112</f>
        <v>168</v>
      </c>
      <c r="G112" s="136">
        <f>$E112*$F112</f>
        <v>24623.759999999998</v>
      </c>
      <c r="H112" s="63"/>
      <c r="I112" s="60"/>
      <c r="J112" s="42">
        <f>46.18+50.34+50.05</f>
        <v>146.57</v>
      </c>
      <c r="K112" s="133"/>
      <c r="L112" s="68"/>
      <c r="M112" s="70"/>
      <c r="N112" s="51"/>
      <c r="O112" s="52"/>
      <c r="P112" s="52">
        <f>110*1.3+25</f>
        <v>168</v>
      </c>
      <c r="Q112" s="52">
        <v>200</v>
      </c>
    </row>
    <row r="113" spans="1:26" ht="165.6" x14ac:dyDescent="0.3">
      <c r="A113" s="1">
        <v>5</v>
      </c>
      <c r="B113" s="2" t="s">
        <v>13</v>
      </c>
      <c r="C113" s="3" t="s">
        <v>90</v>
      </c>
      <c r="D113" s="134" t="s">
        <v>25</v>
      </c>
      <c r="E113" s="135">
        <f t="shared" si="9"/>
        <v>199.52</v>
      </c>
      <c r="F113" s="136">
        <f>P113</f>
        <v>429</v>
      </c>
      <c r="G113" s="136">
        <f>$E113*$F113</f>
        <v>85594.08</v>
      </c>
      <c r="H113" s="63"/>
      <c r="I113" s="60"/>
      <c r="J113" s="42">
        <f>92.04+92.04+15.44</f>
        <v>199.52</v>
      </c>
      <c r="K113" s="133"/>
      <c r="L113" s="68"/>
      <c r="M113" s="70"/>
      <c r="N113" s="51"/>
      <c r="O113" s="52"/>
      <c r="P113" s="52">
        <f>330*1.3</f>
        <v>429</v>
      </c>
      <c r="Q113" s="52">
        <v>380</v>
      </c>
    </row>
    <row r="114" spans="1:26" ht="151.80000000000001" x14ac:dyDescent="0.3">
      <c r="A114" s="1">
        <v>5</v>
      </c>
      <c r="B114" s="2" t="s">
        <v>26</v>
      </c>
      <c r="C114" s="3" t="s">
        <v>85</v>
      </c>
      <c r="D114" s="134" t="s">
        <v>25</v>
      </c>
      <c r="E114" s="135">
        <f t="shared" si="9"/>
        <v>15</v>
      </c>
      <c r="F114" s="136">
        <v>216</v>
      </c>
      <c r="G114" s="136">
        <f>$E114*$F114</f>
        <v>3240</v>
      </c>
      <c r="H114" s="63"/>
      <c r="I114" s="60"/>
      <c r="J114" s="42">
        <f>5.1+5.1+4.8</f>
        <v>15</v>
      </c>
      <c r="K114" s="133"/>
      <c r="L114" s="68"/>
      <c r="M114" s="70"/>
      <c r="N114" s="51"/>
      <c r="O114" s="52">
        <f>100*1.3+200*1.3+2*1.3+50*1.3</f>
        <v>457.6</v>
      </c>
      <c r="P114" s="52"/>
      <c r="Q114" s="52">
        <v>90</v>
      </c>
    </row>
    <row r="115" spans="1:26" ht="165.6" x14ac:dyDescent="0.3">
      <c r="A115" s="1">
        <v>5</v>
      </c>
      <c r="B115" s="2" t="s">
        <v>28</v>
      </c>
      <c r="C115" s="3" t="s">
        <v>91</v>
      </c>
      <c r="D115" s="134" t="s">
        <v>25</v>
      </c>
      <c r="E115" s="135">
        <f t="shared" si="9"/>
        <v>8.6199999999999992</v>
      </c>
      <c r="F115" s="136">
        <f>O115</f>
        <v>221</v>
      </c>
      <c r="G115" s="136">
        <f>$E115*$F115</f>
        <v>1905.0199999999998</v>
      </c>
      <c r="H115" s="63"/>
      <c r="I115" s="60"/>
      <c r="J115" s="42">
        <f>3.04+2.76+2.82</f>
        <v>8.6199999999999992</v>
      </c>
      <c r="K115" s="133"/>
      <c r="L115" s="68"/>
      <c r="M115" s="70"/>
      <c r="N115" s="51"/>
      <c r="O115" s="52">
        <f>170*1.3</f>
        <v>221</v>
      </c>
      <c r="P115" s="52"/>
      <c r="Q115" s="52">
        <v>200</v>
      </c>
    </row>
    <row r="116" spans="1:26" ht="124.2" x14ac:dyDescent="0.3">
      <c r="A116" s="1">
        <v>5</v>
      </c>
      <c r="B116" s="2" t="s">
        <v>30</v>
      </c>
      <c r="C116" s="45" t="s">
        <v>92</v>
      </c>
      <c r="D116" s="134" t="s">
        <v>25</v>
      </c>
      <c r="E116" s="135">
        <f t="shared" si="9"/>
        <v>0</v>
      </c>
      <c r="F116" s="136">
        <v>630</v>
      </c>
      <c r="G116" s="136">
        <f>E116*F116</f>
        <v>0</v>
      </c>
      <c r="H116" s="63"/>
      <c r="I116" s="60"/>
      <c r="J116" s="42"/>
      <c r="K116" s="133"/>
      <c r="L116" s="68"/>
      <c r="M116" s="70"/>
      <c r="N116" s="51"/>
      <c r="O116" s="52"/>
      <c r="P116" s="52"/>
      <c r="Q116" s="52"/>
    </row>
    <row r="117" spans="1:26" ht="124.2" x14ac:dyDescent="0.3">
      <c r="A117" s="1">
        <v>5</v>
      </c>
      <c r="B117" s="2" t="s">
        <v>31</v>
      </c>
      <c r="C117" s="45" t="s">
        <v>93</v>
      </c>
      <c r="D117" s="134" t="s">
        <v>18</v>
      </c>
      <c r="E117" s="135">
        <f t="shared" si="9"/>
        <v>0</v>
      </c>
      <c r="F117" s="136">
        <v>55</v>
      </c>
      <c r="G117" s="136">
        <f>E117*F117</f>
        <v>0</v>
      </c>
      <c r="H117" s="63"/>
      <c r="I117" s="60"/>
      <c r="J117" s="42"/>
      <c r="K117" s="133"/>
      <c r="L117" s="68"/>
      <c r="M117" s="70"/>
      <c r="N117" s="51"/>
      <c r="O117" s="52"/>
      <c r="P117" s="52"/>
      <c r="Q117" s="52"/>
    </row>
    <row r="118" spans="1:26" x14ac:dyDescent="0.3">
      <c r="A118" s="28" t="s">
        <v>94</v>
      </c>
      <c r="B118" s="29"/>
      <c r="C118" s="46" t="s">
        <v>118</v>
      </c>
      <c r="D118" s="31"/>
      <c r="E118" s="32"/>
      <c r="F118" s="33"/>
      <c r="G118" s="33"/>
      <c r="H118" s="63"/>
      <c r="I118" s="60"/>
      <c r="J118" s="42"/>
      <c r="K118" s="133"/>
      <c r="L118" s="68"/>
      <c r="M118" s="70"/>
      <c r="N118" s="51"/>
      <c r="O118" s="52"/>
      <c r="P118" s="52"/>
      <c r="Q118" s="52"/>
    </row>
    <row r="119" spans="1:26" s="52" customFormat="1" ht="96.6" x14ac:dyDescent="0.3">
      <c r="A119" s="1">
        <v>6</v>
      </c>
      <c r="B119" s="2" t="s">
        <v>8</v>
      </c>
      <c r="C119" s="80" t="s">
        <v>119</v>
      </c>
      <c r="D119" s="134" t="s">
        <v>10</v>
      </c>
      <c r="E119" s="135">
        <f>SUM(H119:N119)</f>
        <v>1</v>
      </c>
      <c r="F119" s="136">
        <v>1500</v>
      </c>
      <c r="G119" s="136">
        <f t="shared" ref="G119:G149" si="10">E119*F119</f>
        <v>1500</v>
      </c>
      <c r="H119" s="81"/>
      <c r="I119" s="40"/>
      <c r="J119" s="41"/>
      <c r="K119" s="133"/>
      <c r="L119" s="68">
        <v>1</v>
      </c>
      <c r="N119" s="53"/>
      <c r="Z119" s="14"/>
    </row>
    <row r="120" spans="1:26" s="52" customFormat="1" ht="138" x14ac:dyDescent="0.3">
      <c r="A120" s="1">
        <v>6</v>
      </c>
      <c r="B120" s="2" t="s">
        <v>11</v>
      </c>
      <c r="C120" s="80" t="s">
        <v>120</v>
      </c>
      <c r="D120" s="134" t="s">
        <v>29</v>
      </c>
      <c r="E120" s="135">
        <f t="shared" ref="E120:E136" si="11">SUM(H120:N120)</f>
        <v>3</v>
      </c>
      <c r="F120" s="136">
        <v>350</v>
      </c>
      <c r="G120" s="136">
        <f t="shared" si="10"/>
        <v>1050</v>
      </c>
      <c r="H120" s="81"/>
      <c r="I120" s="40"/>
      <c r="J120" s="41"/>
      <c r="K120" s="133"/>
      <c r="L120" s="68">
        <v>3</v>
      </c>
      <c r="N120" s="53"/>
    </row>
    <row r="121" spans="1:26" s="52" customFormat="1" ht="96.6" x14ac:dyDescent="0.3">
      <c r="A121" s="1">
        <v>6</v>
      </c>
      <c r="B121" s="2" t="s">
        <v>13</v>
      </c>
      <c r="C121" s="80" t="s">
        <v>121</v>
      </c>
      <c r="D121" s="134" t="s">
        <v>10</v>
      </c>
      <c r="E121" s="135">
        <f t="shared" si="11"/>
        <v>1</v>
      </c>
      <c r="F121" s="136">
        <v>1400</v>
      </c>
      <c r="G121" s="136">
        <f t="shared" si="10"/>
        <v>1400</v>
      </c>
      <c r="H121" s="81"/>
      <c r="I121" s="40"/>
      <c r="J121" s="41"/>
      <c r="K121" s="133"/>
      <c r="L121" s="68">
        <v>1</v>
      </c>
      <c r="N121" s="53"/>
    </row>
    <row r="122" spans="1:26" s="52" customFormat="1" ht="96.6" x14ac:dyDescent="0.3">
      <c r="A122" s="1">
        <v>6</v>
      </c>
      <c r="B122" s="2" t="s">
        <v>26</v>
      </c>
      <c r="C122" s="80" t="s">
        <v>122</v>
      </c>
      <c r="D122" s="134" t="s">
        <v>10</v>
      </c>
      <c r="E122" s="135">
        <f t="shared" si="11"/>
        <v>0</v>
      </c>
      <c r="F122" s="136">
        <v>250</v>
      </c>
      <c r="G122" s="136">
        <f t="shared" si="10"/>
        <v>0</v>
      </c>
      <c r="H122" s="81"/>
      <c r="I122" s="40"/>
      <c r="J122" s="41"/>
      <c r="K122" s="133"/>
      <c r="L122" s="68"/>
      <c r="N122" s="53"/>
    </row>
    <row r="123" spans="1:26" s="52" customFormat="1" ht="124.2" x14ac:dyDescent="0.3">
      <c r="A123" s="1">
        <v>6</v>
      </c>
      <c r="B123" s="2" t="s">
        <v>28</v>
      </c>
      <c r="C123" s="80" t="s">
        <v>123</v>
      </c>
      <c r="D123" s="134" t="s">
        <v>29</v>
      </c>
      <c r="E123" s="135">
        <f t="shared" si="11"/>
        <v>2</v>
      </c>
      <c r="F123" s="136">
        <v>750</v>
      </c>
      <c r="G123" s="136">
        <f t="shared" si="10"/>
        <v>1500</v>
      </c>
      <c r="H123" s="81"/>
      <c r="I123" s="40"/>
      <c r="J123" s="41"/>
      <c r="K123" s="133"/>
      <c r="L123" s="68">
        <v>2</v>
      </c>
      <c r="N123" s="53"/>
    </row>
    <row r="124" spans="1:26" s="52" customFormat="1" ht="207" x14ac:dyDescent="0.3">
      <c r="A124" s="1">
        <v>6</v>
      </c>
      <c r="B124" s="2" t="s">
        <v>30</v>
      </c>
      <c r="C124" s="80" t="s">
        <v>124</v>
      </c>
      <c r="D124" s="134" t="s">
        <v>29</v>
      </c>
      <c r="E124" s="135">
        <f t="shared" si="11"/>
        <v>2</v>
      </c>
      <c r="F124" s="136">
        <v>200</v>
      </c>
      <c r="G124" s="136">
        <f t="shared" si="10"/>
        <v>400</v>
      </c>
      <c r="H124" s="81"/>
      <c r="I124" s="40"/>
      <c r="J124" s="41"/>
      <c r="K124" s="133"/>
      <c r="L124" s="68">
        <v>2</v>
      </c>
      <c r="N124" s="53"/>
    </row>
    <row r="125" spans="1:26" s="52" customFormat="1" ht="82.8" x14ac:dyDescent="0.3">
      <c r="A125" s="1">
        <v>6</v>
      </c>
      <c r="B125" s="2" t="s">
        <v>31</v>
      </c>
      <c r="C125" s="80" t="s">
        <v>125</v>
      </c>
      <c r="D125" s="134" t="s">
        <v>29</v>
      </c>
      <c r="E125" s="135">
        <f t="shared" si="11"/>
        <v>2</v>
      </c>
      <c r="F125" s="136">
        <v>150</v>
      </c>
      <c r="G125" s="136">
        <f t="shared" si="10"/>
        <v>300</v>
      </c>
      <c r="H125" s="81"/>
      <c r="I125" s="40"/>
      <c r="J125" s="41"/>
      <c r="K125" s="133"/>
      <c r="L125" s="68">
        <v>2</v>
      </c>
      <c r="N125" s="53"/>
    </row>
    <row r="126" spans="1:26" s="52" customFormat="1" ht="124.2" x14ac:dyDescent="0.3">
      <c r="A126" s="1">
        <v>6</v>
      </c>
      <c r="B126" s="2" t="s">
        <v>33</v>
      </c>
      <c r="C126" s="80" t="s">
        <v>126</v>
      </c>
      <c r="D126" s="134" t="s">
        <v>29</v>
      </c>
      <c r="E126" s="135">
        <f t="shared" si="11"/>
        <v>2</v>
      </c>
      <c r="F126" s="136">
        <v>100</v>
      </c>
      <c r="G126" s="136">
        <f t="shared" si="10"/>
        <v>200</v>
      </c>
      <c r="H126" s="81"/>
      <c r="I126" s="40"/>
      <c r="J126" s="41"/>
      <c r="K126" s="133"/>
      <c r="L126" s="68">
        <v>2</v>
      </c>
      <c r="N126" s="53"/>
    </row>
    <row r="127" spans="1:26" s="52" customFormat="1" ht="82.8" x14ac:dyDescent="0.3">
      <c r="A127" s="1">
        <v>6</v>
      </c>
      <c r="B127" s="2" t="s">
        <v>35</v>
      </c>
      <c r="C127" s="80" t="s">
        <v>127</v>
      </c>
      <c r="D127" s="134" t="s">
        <v>29</v>
      </c>
      <c r="E127" s="135">
        <f t="shared" si="11"/>
        <v>1</v>
      </c>
      <c r="F127" s="136">
        <v>15</v>
      </c>
      <c r="G127" s="136">
        <f t="shared" si="10"/>
        <v>15</v>
      </c>
      <c r="H127" s="81"/>
      <c r="I127" s="40"/>
      <c r="J127" s="41"/>
      <c r="K127" s="133"/>
      <c r="L127" s="68">
        <v>1</v>
      </c>
      <c r="N127" s="53"/>
    </row>
    <row r="128" spans="1:26" s="52" customFormat="1" ht="82.8" x14ac:dyDescent="0.3">
      <c r="A128" s="1">
        <v>6</v>
      </c>
      <c r="B128" s="2" t="s">
        <v>38</v>
      </c>
      <c r="C128" s="80" t="s">
        <v>128</v>
      </c>
      <c r="D128" s="134" t="s">
        <v>18</v>
      </c>
      <c r="E128" s="135">
        <f t="shared" si="11"/>
        <v>1</v>
      </c>
      <c r="F128" s="136">
        <v>50</v>
      </c>
      <c r="G128" s="136">
        <f t="shared" si="10"/>
        <v>50</v>
      </c>
      <c r="H128" s="81"/>
      <c r="I128" s="40"/>
      <c r="J128" s="41"/>
      <c r="K128" s="133"/>
      <c r="L128" s="68">
        <v>1</v>
      </c>
      <c r="N128" s="53"/>
    </row>
    <row r="129" spans="1:28" s="52" customFormat="1" ht="82.8" x14ac:dyDescent="0.3">
      <c r="A129" s="1">
        <v>6</v>
      </c>
      <c r="B129" s="2" t="s">
        <v>40</v>
      </c>
      <c r="C129" s="80" t="s">
        <v>129</v>
      </c>
      <c r="D129" s="134" t="s">
        <v>18</v>
      </c>
      <c r="E129" s="135">
        <f t="shared" si="11"/>
        <v>20</v>
      </c>
      <c r="F129" s="136">
        <v>40</v>
      </c>
      <c r="G129" s="136">
        <f t="shared" si="10"/>
        <v>800</v>
      </c>
      <c r="H129" s="81"/>
      <c r="I129" s="40"/>
      <c r="J129" s="41"/>
      <c r="K129" s="133"/>
      <c r="L129" s="68">
        <v>20</v>
      </c>
      <c r="N129" s="53"/>
    </row>
    <row r="130" spans="1:28" s="52" customFormat="1" ht="82.8" x14ac:dyDescent="0.3">
      <c r="A130" s="1">
        <v>6</v>
      </c>
      <c r="B130" s="2" t="s">
        <v>42</v>
      </c>
      <c r="C130" s="80" t="s">
        <v>130</v>
      </c>
      <c r="D130" s="134" t="s">
        <v>10</v>
      </c>
      <c r="E130" s="135">
        <f t="shared" si="11"/>
        <v>1</v>
      </c>
      <c r="F130" s="136">
        <v>1500</v>
      </c>
      <c r="G130" s="136">
        <f t="shared" si="10"/>
        <v>1500</v>
      </c>
      <c r="H130" s="81"/>
      <c r="I130" s="40"/>
      <c r="J130" s="41"/>
      <c r="K130" s="133"/>
      <c r="L130" s="68">
        <v>1</v>
      </c>
      <c r="N130" s="53"/>
    </row>
    <row r="131" spans="1:28" s="52" customFormat="1" ht="96.6" x14ac:dyDescent="0.3">
      <c r="A131" s="1">
        <v>6</v>
      </c>
      <c r="B131" s="2" t="s">
        <v>44</v>
      </c>
      <c r="C131" s="80" t="s">
        <v>131</v>
      </c>
      <c r="D131" s="134" t="s">
        <v>18</v>
      </c>
      <c r="E131" s="135">
        <f t="shared" si="11"/>
        <v>2</v>
      </c>
      <c r="F131" s="136">
        <v>30</v>
      </c>
      <c r="G131" s="136">
        <f t="shared" si="10"/>
        <v>60</v>
      </c>
      <c r="H131" s="81"/>
      <c r="I131" s="40"/>
      <c r="J131" s="41"/>
      <c r="K131" s="133"/>
      <c r="L131" s="68">
        <v>2</v>
      </c>
      <c r="N131" s="53"/>
    </row>
    <row r="132" spans="1:28" s="52" customFormat="1" ht="82.8" x14ac:dyDescent="0.3">
      <c r="A132" s="1">
        <v>6</v>
      </c>
      <c r="B132" s="2" t="s">
        <v>46</v>
      </c>
      <c r="C132" s="80" t="s">
        <v>132</v>
      </c>
      <c r="D132" s="134" t="s">
        <v>10</v>
      </c>
      <c r="E132" s="135">
        <f t="shared" si="11"/>
        <v>1</v>
      </c>
      <c r="F132" s="136">
        <v>425</v>
      </c>
      <c r="G132" s="136">
        <f t="shared" si="10"/>
        <v>425</v>
      </c>
      <c r="H132" s="81"/>
      <c r="I132" s="40"/>
      <c r="J132" s="41"/>
      <c r="K132" s="133"/>
      <c r="L132" s="68">
        <v>1</v>
      </c>
      <c r="N132" s="53"/>
    </row>
    <row r="133" spans="1:28" s="52" customFormat="1" ht="82.8" x14ac:dyDescent="0.3">
      <c r="A133" s="1">
        <v>6</v>
      </c>
      <c r="B133" s="2" t="s">
        <v>48</v>
      </c>
      <c r="C133" s="80" t="s">
        <v>133</v>
      </c>
      <c r="D133" s="134" t="s">
        <v>10</v>
      </c>
      <c r="E133" s="135">
        <f t="shared" si="11"/>
        <v>1</v>
      </c>
      <c r="F133" s="136">
        <v>200</v>
      </c>
      <c r="G133" s="136">
        <f t="shared" si="10"/>
        <v>200</v>
      </c>
      <c r="H133" s="81"/>
      <c r="I133" s="40"/>
      <c r="J133" s="41"/>
      <c r="K133" s="133"/>
      <c r="L133" s="68">
        <v>1</v>
      </c>
      <c r="N133" s="53"/>
    </row>
    <row r="134" spans="1:28" s="52" customFormat="1" ht="110.4" x14ac:dyDescent="0.3">
      <c r="A134" s="1">
        <v>6</v>
      </c>
      <c r="B134" s="2" t="s">
        <v>50</v>
      </c>
      <c r="C134" s="80" t="s">
        <v>134</v>
      </c>
      <c r="D134" s="134" t="s">
        <v>10</v>
      </c>
      <c r="E134" s="135">
        <f t="shared" si="11"/>
        <v>3</v>
      </c>
      <c r="F134" s="136">
        <v>400</v>
      </c>
      <c r="G134" s="136">
        <f t="shared" si="10"/>
        <v>1200</v>
      </c>
      <c r="H134" s="81"/>
      <c r="I134" s="40"/>
      <c r="J134" s="41"/>
      <c r="K134" s="133"/>
      <c r="L134" s="68">
        <v>3</v>
      </c>
      <c r="N134" s="53"/>
    </row>
    <row r="135" spans="1:28" s="52" customFormat="1" ht="96.6" x14ac:dyDescent="0.3">
      <c r="A135" s="1">
        <v>6</v>
      </c>
      <c r="B135" s="2" t="s">
        <v>51</v>
      </c>
      <c r="C135" s="80" t="s">
        <v>135</v>
      </c>
      <c r="D135" s="134" t="s">
        <v>10</v>
      </c>
      <c r="E135" s="135">
        <f t="shared" si="11"/>
        <v>2</v>
      </c>
      <c r="F135" s="136">
        <v>700</v>
      </c>
      <c r="G135" s="136">
        <f t="shared" si="10"/>
        <v>1400</v>
      </c>
      <c r="H135" s="81"/>
      <c r="I135" s="40"/>
      <c r="J135" s="41"/>
      <c r="K135" s="133"/>
      <c r="L135" s="68">
        <v>2</v>
      </c>
      <c r="N135" s="53"/>
    </row>
    <row r="136" spans="1:28" s="52" customFormat="1" ht="193.2" x14ac:dyDescent="0.3">
      <c r="A136" s="1">
        <v>6</v>
      </c>
      <c r="B136" s="2" t="s">
        <v>53</v>
      </c>
      <c r="C136" s="80" t="s">
        <v>136</v>
      </c>
      <c r="D136" s="134" t="s">
        <v>10</v>
      </c>
      <c r="E136" s="135">
        <f t="shared" si="11"/>
        <v>1</v>
      </c>
      <c r="F136" s="136">
        <v>5500</v>
      </c>
      <c r="G136" s="136">
        <f t="shared" si="10"/>
        <v>5500</v>
      </c>
      <c r="H136" s="81"/>
      <c r="I136" s="40"/>
      <c r="J136" s="41"/>
      <c r="K136" s="133"/>
      <c r="L136" s="68">
        <v>1</v>
      </c>
      <c r="N136" s="53"/>
    </row>
    <row r="137" spans="1:28" s="52" customFormat="1" ht="55.2" x14ac:dyDescent="0.3">
      <c r="A137" s="1">
        <v>6</v>
      </c>
      <c r="B137" s="2" t="s">
        <v>55</v>
      </c>
      <c r="C137" s="80" t="s">
        <v>137</v>
      </c>
      <c r="D137" s="134" t="s">
        <v>10</v>
      </c>
      <c r="E137" s="135">
        <f>SUM(H137:N137)</f>
        <v>1</v>
      </c>
      <c r="F137" s="136">
        <v>2000</v>
      </c>
      <c r="G137" s="136">
        <f t="shared" si="10"/>
        <v>2000</v>
      </c>
      <c r="H137" s="81"/>
      <c r="I137" s="40"/>
      <c r="J137" s="41"/>
      <c r="K137" s="133"/>
      <c r="L137" s="68">
        <v>1</v>
      </c>
      <c r="N137" s="53"/>
      <c r="P137" s="14"/>
      <c r="Y137" s="82"/>
      <c r="Z137" s="82"/>
      <c r="AA137" s="82"/>
      <c r="AB137" s="82"/>
    </row>
    <row r="138" spans="1:28" s="52" customFormat="1" ht="96.6" x14ac:dyDescent="0.3">
      <c r="A138" s="1">
        <v>6</v>
      </c>
      <c r="B138" s="2" t="s">
        <v>57</v>
      </c>
      <c r="C138" s="80" t="s">
        <v>221</v>
      </c>
      <c r="D138" s="134" t="s">
        <v>10</v>
      </c>
      <c r="E138" s="135">
        <f t="shared" ref="E138:E148" si="12">SUM(H138:N138)</f>
        <v>1</v>
      </c>
      <c r="F138" s="136">
        <v>2100</v>
      </c>
      <c r="G138" s="136">
        <f t="shared" si="10"/>
        <v>2100</v>
      </c>
      <c r="H138" s="81"/>
      <c r="I138" s="40"/>
      <c r="J138" s="41"/>
      <c r="K138" s="133">
        <v>1</v>
      </c>
      <c r="L138" s="43"/>
      <c r="N138" s="53"/>
      <c r="P138" s="14"/>
    </row>
    <row r="139" spans="1:28" s="52" customFormat="1" ht="124.2" x14ac:dyDescent="0.3">
      <c r="A139" s="1">
        <v>6</v>
      </c>
      <c r="B139" s="2" t="s">
        <v>58</v>
      </c>
      <c r="C139" s="80" t="s">
        <v>220</v>
      </c>
      <c r="D139" s="134" t="s">
        <v>29</v>
      </c>
      <c r="E139" s="135">
        <f t="shared" si="12"/>
        <v>3</v>
      </c>
      <c r="F139" s="136">
        <v>80</v>
      </c>
      <c r="G139" s="136">
        <f t="shared" si="10"/>
        <v>240</v>
      </c>
      <c r="H139" s="81"/>
      <c r="I139" s="40"/>
      <c r="J139" s="41"/>
      <c r="K139" s="133">
        <v>3</v>
      </c>
      <c r="L139" s="43"/>
      <c r="N139" s="53"/>
      <c r="P139" s="14"/>
    </row>
    <row r="140" spans="1:28" s="52" customFormat="1" ht="124.2" x14ac:dyDescent="0.3">
      <c r="A140" s="1">
        <v>6</v>
      </c>
      <c r="B140" s="2" t="s">
        <v>60</v>
      </c>
      <c r="C140" s="80" t="s">
        <v>219</v>
      </c>
      <c r="D140" s="134" t="s">
        <v>29</v>
      </c>
      <c r="E140" s="135">
        <f t="shared" si="12"/>
        <v>2</v>
      </c>
      <c r="F140" s="136">
        <v>90</v>
      </c>
      <c r="G140" s="136">
        <f t="shared" si="10"/>
        <v>180</v>
      </c>
      <c r="H140" s="81"/>
      <c r="I140" s="40"/>
      <c r="J140" s="41"/>
      <c r="K140" s="133">
        <v>2</v>
      </c>
      <c r="L140" s="43"/>
      <c r="N140" s="53"/>
      <c r="P140" s="14"/>
    </row>
    <row r="141" spans="1:28" s="52" customFormat="1" ht="124.2" x14ac:dyDescent="0.3">
      <c r="A141" s="1">
        <v>6</v>
      </c>
      <c r="B141" s="2" t="s">
        <v>77</v>
      </c>
      <c r="C141" s="80" t="s">
        <v>217</v>
      </c>
      <c r="D141" s="134" t="s">
        <v>29</v>
      </c>
      <c r="E141" s="135">
        <f t="shared" si="12"/>
        <v>1</v>
      </c>
      <c r="F141" s="136">
        <v>90</v>
      </c>
      <c r="G141" s="136">
        <f t="shared" si="10"/>
        <v>90</v>
      </c>
      <c r="H141" s="81"/>
      <c r="I141" s="40"/>
      <c r="J141" s="41"/>
      <c r="K141" s="133">
        <v>1</v>
      </c>
      <c r="L141" s="43"/>
      <c r="N141" s="53"/>
      <c r="P141" s="14"/>
    </row>
    <row r="142" spans="1:28" s="52" customFormat="1" ht="110.4" x14ac:dyDescent="0.3">
      <c r="A142" s="1">
        <v>6</v>
      </c>
      <c r="B142" s="2" t="s">
        <v>78</v>
      </c>
      <c r="C142" s="80" t="s">
        <v>215</v>
      </c>
      <c r="D142" s="134" t="s">
        <v>18</v>
      </c>
      <c r="E142" s="135">
        <f t="shared" si="12"/>
        <v>8</v>
      </c>
      <c r="F142" s="136">
        <v>30</v>
      </c>
      <c r="G142" s="136">
        <f t="shared" si="10"/>
        <v>240</v>
      </c>
      <c r="H142" s="81"/>
      <c r="I142" s="40"/>
      <c r="J142" s="41"/>
      <c r="K142" s="133">
        <v>8</v>
      </c>
      <c r="L142" s="43"/>
      <c r="N142" s="53"/>
      <c r="P142" s="14"/>
    </row>
    <row r="143" spans="1:28" s="52" customFormat="1" ht="90.75" customHeight="1" x14ac:dyDescent="0.3">
      <c r="A143" s="1">
        <v>6</v>
      </c>
      <c r="B143" s="2" t="s">
        <v>79</v>
      </c>
      <c r="C143" s="80" t="s">
        <v>213</v>
      </c>
      <c r="D143" s="134" t="s">
        <v>29</v>
      </c>
      <c r="E143" s="135">
        <f t="shared" si="12"/>
        <v>1</v>
      </c>
      <c r="F143" s="136">
        <v>80</v>
      </c>
      <c r="G143" s="136">
        <f t="shared" si="10"/>
        <v>80</v>
      </c>
      <c r="H143" s="81"/>
      <c r="I143" s="40"/>
      <c r="J143" s="41"/>
      <c r="K143" s="133">
        <v>1</v>
      </c>
      <c r="L143" s="43"/>
      <c r="N143" s="53"/>
      <c r="P143" s="14"/>
    </row>
    <row r="144" spans="1:28" s="52" customFormat="1" ht="124.2" x14ac:dyDescent="0.3">
      <c r="A144" s="1">
        <v>6</v>
      </c>
      <c r="B144" s="2" t="s">
        <v>81</v>
      </c>
      <c r="C144" s="80" t="s">
        <v>211</v>
      </c>
      <c r="D144" s="134" t="s">
        <v>29</v>
      </c>
      <c r="E144" s="135">
        <f t="shared" si="12"/>
        <v>3</v>
      </c>
      <c r="F144" s="136">
        <v>350</v>
      </c>
      <c r="G144" s="136">
        <f t="shared" si="10"/>
        <v>1050</v>
      </c>
      <c r="H144" s="81"/>
      <c r="I144" s="40"/>
      <c r="J144" s="41"/>
      <c r="K144" s="133">
        <v>3</v>
      </c>
      <c r="L144" s="43"/>
      <c r="N144" s="53"/>
      <c r="P144" s="14"/>
    </row>
    <row r="145" spans="1:46" s="52" customFormat="1" ht="110.4" x14ac:dyDescent="0.3">
      <c r="A145" s="1">
        <v>6</v>
      </c>
      <c r="B145" s="2" t="s">
        <v>218</v>
      </c>
      <c r="C145" s="80" t="s">
        <v>209</v>
      </c>
      <c r="D145" s="134" t="s">
        <v>29</v>
      </c>
      <c r="E145" s="135">
        <f t="shared" si="12"/>
        <v>2</v>
      </c>
      <c r="F145" s="136">
        <v>350</v>
      </c>
      <c r="G145" s="136">
        <f t="shared" si="10"/>
        <v>700</v>
      </c>
      <c r="H145" s="81"/>
      <c r="I145" s="40"/>
      <c r="J145" s="41"/>
      <c r="K145" s="133">
        <v>2</v>
      </c>
      <c r="L145" s="43"/>
      <c r="N145" s="53"/>
      <c r="P145" s="14"/>
    </row>
    <row r="146" spans="1:46" s="52" customFormat="1" ht="110.4" x14ac:dyDescent="0.3">
      <c r="A146" s="1">
        <v>6</v>
      </c>
      <c r="B146" s="2" t="s">
        <v>216</v>
      </c>
      <c r="C146" s="80" t="s">
        <v>207</v>
      </c>
      <c r="D146" s="134" t="s">
        <v>29</v>
      </c>
      <c r="E146" s="135">
        <f t="shared" si="12"/>
        <v>1</v>
      </c>
      <c r="F146" s="136">
        <v>350</v>
      </c>
      <c r="G146" s="136">
        <f t="shared" si="10"/>
        <v>350</v>
      </c>
      <c r="H146" s="81"/>
      <c r="I146" s="40"/>
      <c r="J146" s="41"/>
      <c r="K146" s="133">
        <v>1</v>
      </c>
      <c r="L146" s="43"/>
      <c r="N146" s="53"/>
      <c r="P146" s="14"/>
    </row>
    <row r="147" spans="1:46" s="52" customFormat="1" ht="138" x14ac:dyDescent="0.3">
      <c r="A147" s="1">
        <v>6</v>
      </c>
      <c r="B147" s="2" t="s">
        <v>214</v>
      </c>
      <c r="C147" s="80" t="s">
        <v>179</v>
      </c>
      <c r="D147" s="134" t="s">
        <v>29</v>
      </c>
      <c r="E147" s="135">
        <f t="shared" si="12"/>
        <v>8</v>
      </c>
      <c r="F147" s="136">
        <v>400</v>
      </c>
      <c r="G147" s="136">
        <f t="shared" si="10"/>
        <v>3200</v>
      </c>
      <c r="H147" s="81"/>
      <c r="I147" s="40"/>
      <c r="J147" s="41"/>
      <c r="K147" s="133">
        <v>8</v>
      </c>
      <c r="L147" s="43"/>
      <c r="N147" s="53"/>
      <c r="P147" s="14"/>
    </row>
    <row r="148" spans="1:46" s="52" customFormat="1" ht="96.6" x14ac:dyDescent="0.3">
      <c r="A148" s="1">
        <v>6</v>
      </c>
      <c r="B148" s="2" t="s">
        <v>212</v>
      </c>
      <c r="C148" s="80" t="s">
        <v>204</v>
      </c>
      <c r="D148" s="134" t="s">
        <v>29</v>
      </c>
      <c r="E148" s="135">
        <f t="shared" si="12"/>
        <v>1</v>
      </c>
      <c r="F148" s="136">
        <v>120</v>
      </c>
      <c r="G148" s="136">
        <f t="shared" si="10"/>
        <v>120</v>
      </c>
      <c r="H148" s="81"/>
      <c r="I148" s="40"/>
      <c r="J148" s="41"/>
      <c r="K148" s="133">
        <v>1</v>
      </c>
      <c r="L148" s="43"/>
      <c r="N148" s="53"/>
      <c r="P148" s="14"/>
    </row>
    <row r="149" spans="1:46" s="52" customFormat="1" ht="263.25" customHeight="1" x14ac:dyDescent="0.3">
      <c r="A149" s="306">
        <v>6</v>
      </c>
      <c r="B149" s="306" t="s">
        <v>210</v>
      </c>
      <c r="C149" s="80" t="s">
        <v>202</v>
      </c>
      <c r="D149" s="307" t="s">
        <v>10</v>
      </c>
      <c r="E149" s="308">
        <f>SUM(H149:N149)</f>
        <v>1</v>
      </c>
      <c r="F149" s="309">
        <v>35000</v>
      </c>
      <c r="G149" s="309">
        <f t="shared" si="10"/>
        <v>35000</v>
      </c>
      <c r="H149" s="81"/>
      <c r="I149" s="40"/>
      <c r="J149" s="41"/>
      <c r="K149" s="297">
        <v>1</v>
      </c>
      <c r="L149" s="43"/>
      <c r="N149" s="53"/>
      <c r="P149" s="14"/>
    </row>
    <row r="150" spans="1:46" s="52" customFormat="1" ht="240" customHeight="1" x14ac:dyDescent="0.3">
      <c r="A150" s="306"/>
      <c r="B150" s="306"/>
      <c r="C150" s="7" t="s">
        <v>201</v>
      </c>
      <c r="D150" s="307"/>
      <c r="E150" s="308"/>
      <c r="F150" s="309"/>
      <c r="G150" s="309"/>
      <c r="H150" s="81"/>
      <c r="I150" s="40"/>
      <c r="J150" s="41"/>
      <c r="K150" s="297"/>
      <c r="L150" s="43"/>
      <c r="N150" s="53"/>
      <c r="P150" s="14"/>
    </row>
    <row r="151" spans="1:46" s="52" customFormat="1" ht="96.6" x14ac:dyDescent="0.3">
      <c r="A151" s="1">
        <v>6</v>
      </c>
      <c r="B151" s="2" t="s">
        <v>208</v>
      </c>
      <c r="C151" s="80" t="s">
        <v>199</v>
      </c>
      <c r="D151" s="134" t="s">
        <v>10</v>
      </c>
      <c r="E151" s="135">
        <f>SUM(H151:N151)</f>
        <v>1</v>
      </c>
      <c r="F151" s="136">
        <v>2100</v>
      </c>
      <c r="G151" s="136">
        <f t="shared" ref="G151:G162" si="13">E151*F151</f>
        <v>2100</v>
      </c>
      <c r="H151" s="81"/>
      <c r="I151" s="40"/>
      <c r="J151" s="41"/>
      <c r="K151" s="133">
        <v>1</v>
      </c>
      <c r="L151" s="43"/>
      <c r="N151" s="53"/>
      <c r="P151" s="14"/>
    </row>
    <row r="152" spans="1:46" s="52" customFormat="1" ht="124.2" x14ac:dyDescent="0.3">
      <c r="A152" s="1">
        <v>6</v>
      </c>
      <c r="B152" s="2" t="s">
        <v>206</v>
      </c>
      <c r="C152" s="80" t="s">
        <v>197</v>
      </c>
      <c r="D152" s="134" t="s">
        <v>29</v>
      </c>
      <c r="E152" s="135">
        <f t="shared" ref="E152:E161" si="14">SUM(H152:N152)</f>
        <v>3</v>
      </c>
      <c r="F152" s="136">
        <v>80</v>
      </c>
      <c r="G152" s="136">
        <f t="shared" si="13"/>
        <v>240</v>
      </c>
      <c r="H152" s="81"/>
      <c r="I152" s="40"/>
      <c r="J152" s="41"/>
      <c r="K152" s="133">
        <v>3</v>
      </c>
      <c r="L152" s="43"/>
      <c r="N152" s="53"/>
      <c r="P152" s="14"/>
    </row>
    <row r="153" spans="1:46" s="52" customFormat="1" ht="124.2" x14ac:dyDescent="0.3">
      <c r="A153" s="1">
        <v>6</v>
      </c>
      <c r="B153" s="2" t="s">
        <v>205</v>
      </c>
      <c r="C153" s="80" t="s">
        <v>195</v>
      </c>
      <c r="D153" s="134" t="s">
        <v>29</v>
      </c>
      <c r="E153" s="135">
        <f t="shared" si="14"/>
        <v>2</v>
      </c>
      <c r="F153" s="136">
        <v>90</v>
      </c>
      <c r="G153" s="136">
        <f t="shared" si="13"/>
        <v>180</v>
      </c>
      <c r="H153" s="81"/>
      <c r="I153" s="40"/>
      <c r="J153" s="41"/>
      <c r="K153" s="133">
        <v>2</v>
      </c>
      <c r="L153" s="43"/>
      <c r="N153" s="53"/>
      <c r="P153" s="14"/>
    </row>
    <row r="154" spans="1:46" s="52" customFormat="1" ht="124.2" x14ac:dyDescent="0.3">
      <c r="A154" s="1">
        <v>6</v>
      </c>
      <c r="B154" s="2" t="s">
        <v>203</v>
      </c>
      <c r="C154" s="80" t="s">
        <v>193</v>
      </c>
      <c r="D154" s="134" t="s">
        <v>29</v>
      </c>
      <c r="E154" s="135">
        <f t="shared" si="14"/>
        <v>1</v>
      </c>
      <c r="F154" s="136">
        <v>90</v>
      </c>
      <c r="G154" s="136">
        <f t="shared" si="13"/>
        <v>90</v>
      </c>
      <c r="H154" s="81"/>
      <c r="I154" s="40"/>
      <c r="J154" s="41"/>
      <c r="K154" s="133">
        <v>1</v>
      </c>
      <c r="L154" s="43"/>
      <c r="M154" s="82"/>
      <c r="N154" s="114"/>
      <c r="O154" s="82"/>
      <c r="P154" s="115"/>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row>
    <row r="155" spans="1:46" s="52" customFormat="1" ht="110.4" x14ac:dyDescent="0.3">
      <c r="A155" s="1">
        <v>6</v>
      </c>
      <c r="B155" s="2" t="s">
        <v>200</v>
      </c>
      <c r="C155" s="80" t="s">
        <v>191</v>
      </c>
      <c r="D155" s="134" t="s">
        <v>18</v>
      </c>
      <c r="E155" s="135">
        <f t="shared" si="14"/>
        <v>8</v>
      </c>
      <c r="F155" s="136">
        <v>30</v>
      </c>
      <c r="G155" s="136">
        <f t="shared" si="13"/>
        <v>240</v>
      </c>
      <c r="H155" s="81"/>
      <c r="I155" s="40"/>
      <c r="J155" s="41"/>
      <c r="K155" s="133">
        <v>8</v>
      </c>
      <c r="L155" s="43"/>
      <c r="M155" s="82"/>
      <c r="N155" s="114"/>
      <c r="O155" s="82"/>
      <c r="P155" s="115"/>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row>
    <row r="156" spans="1:46" s="52" customFormat="1" ht="93" customHeight="1" x14ac:dyDescent="0.3">
      <c r="A156" s="1">
        <v>6</v>
      </c>
      <c r="B156" s="2" t="s">
        <v>198</v>
      </c>
      <c r="C156" s="80" t="s">
        <v>189</v>
      </c>
      <c r="D156" s="134" t="s">
        <v>29</v>
      </c>
      <c r="E156" s="135">
        <f t="shared" si="14"/>
        <v>1</v>
      </c>
      <c r="F156" s="136">
        <v>80</v>
      </c>
      <c r="G156" s="136">
        <f t="shared" si="13"/>
        <v>80</v>
      </c>
      <c r="H156" s="81"/>
      <c r="I156" s="40"/>
      <c r="J156" s="41"/>
      <c r="K156" s="133">
        <v>1</v>
      </c>
      <c r="L156" s="43"/>
      <c r="M156" s="82"/>
      <c r="N156" s="114"/>
      <c r="O156" s="82"/>
      <c r="P156" s="115"/>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row>
    <row r="157" spans="1:46" s="52" customFormat="1" ht="124.2" x14ac:dyDescent="0.3">
      <c r="A157" s="1">
        <v>6</v>
      </c>
      <c r="B157" s="2" t="s">
        <v>196</v>
      </c>
      <c r="C157" s="80" t="s">
        <v>187</v>
      </c>
      <c r="D157" s="134" t="s">
        <v>29</v>
      </c>
      <c r="E157" s="135">
        <f t="shared" si="14"/>
        <v>3</v>
      </c>
      <c r="F157" s="136">
        <v>350</v>
      </c>
      <c r="G157" s="136">
        <f t="shared" si="13"/>
        <v>1050</v>
      </c>
      <c r="H157" s="81"/>
      <c r="I157" s="40"/>
      <c r="J157" s="41"/>
      <c r="K157" s="133">
        <v>3</v>
      </c>
      <c r="L157" s="43"/>
      <c r="M157" s="82"/>
      <c r="N157" s="114"/>
      <c r="O157" s="82"/>
      <c r="P157" s="115"/>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row>
    <row r="158" spans="1:46" s="52" customFormat="1" ht="110.4" x14ac:dyDescent="0.3">
      <c r="A158" s="1">
        <v>6</v>
      </c>
      <c r="B158" s="2" t="s">
        <v>194</v>
      </c>
      <c r="C158" s="80" t="s">
        <v>185</v>
      </c>
      <c r="D158" s="134" t="s">
        <v>29</v>
      </c>
      <c r="E158" s="135">
        <f t="shared" si="14"/>
        <v>2</v>
      </c>
      <c r="F158" s="136">
        <v>350</v>
      </c>
      <c r="G158" s="136">
        <f t="shared" si="13"/>
        <v>700</v>
      </c>
      <c r="H158" s="81"/>
      <c r="I158" s="40"/>
      <c r="J158" s="41"/>
      <c r="K158" s="133">
        <v>2</v>
      </c>
      <c r="L158" s="43"/>
      <c r="M158" s="82"/>
      <c r="N158" s="114"/>
      <c r="O158" s="82"/>
      <c r="P158" s="115"/>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row>
    <row r="159" spans="1:46" s="52" customFormat="1" ht="110.4" x14ac:dyDescent="0.3">
      <c r="A159" s="1">
        <v>6</v>
      </c>
      <c r="B159" s="2" t="s">
        <v>192</v>
      </c>
      <c r="C159" s="80" t="s">
        <v>183</v>
      </c>
      <c r="D159" s="134" t="s">
        <v>29</v>
      </c>
      <c r="E159" s="135">
        <f t="shared" si="14"/>
        <v>1</v>
      </c>
      <c r="F159" s="136">
        <v>350</v>
      </c>
      <c r="G159" s="136">
        <f t="shared" si="13"/>
        <v>350</v>
      </c>
      <c r="H159" s="81"/>
      <c r="I159" s="40"/>
      <c r="J159" s="41"/>
      <c r="K159" s="133">
        <v>1</v>
      </c>
      <c r="L159" s="43"/>
      <c r="M159" s="82"/>
      <c r="N159" s="114"/>
      <c r="O159" s="82"/>
      <c r="P159" s="115"/>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row>
    <row r="160" spans="1:46" s="52" customFormat="1" ht="96.6" x14ac:dyDescent="0.3">
      <c r="A160" s="1">
        <v>6</v>
      </c>
      <c r="B160" s="2" t="s">
        <v>190</v>
      </c>
      <c r="C160" s="80" t="s">
        <v>181</v>
      </c>
      <c r="D160" s="134" t="s">
        <v>29</v>
      </c>
      <c r="E160" s="135">
        <f t="shared" si="14"/>
        <v>1</v>
      </c>
      <c r="F160" s="136">
        <v>120</v>
      </c>
      <c r="G160" s="136">
        <f t="shared" si="13"/>
        <v>120</v>
      </c>
      <c r="H160" s="81"/>
      <c r="I160" s="40"/>
      <c r="J160" s="41"/>
      <c r="K160" s="133">
        <v>1</v>
      </c>
      <c r="L160" s="43"/>
      <c r="M160" s="82"/>
      <c r="N160" s="114"/>
      <c r="O160" s="82"/>
      <c r="P160" s="115"/>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row>
    <row r="161" spans="1:46" s="52" customFormat="1" ht="126" customHeight="1" x14ac:dyDescent="0.3">
      <c r="A161" s="1">
        <v>6</v>
      </c>
      <c r="B161" s="2" t="s">
        <v>188</v>
      </c>
      <c r="C161" s="80" t="s">
        <v>179</v>
      </c>
      <c r="D161" s="134" t="s">
        <v>29</v>
      </c>
      <c r="E161" s="135">
        <f t="shared" si="14"/>
        <v>8</v>
      </c>
      <c r="F161" s="136">
        <v>400</v>
      </c>
      <c r="G161" s="136">
        <f t="shared" si="13"/>
        <v>3200</v>
      </c>
      <c r="H161" s="81"/>
      <c r="I161" s="40"/>
      <c r="J161" s="41"/>
      <c r="K161" s="133">
        <v>8</v>
      </c>
      <c r="L161" s="43"/>
      <c r="M161" s="82"/>
      <c r="N161" s="114"/>
      <c r="O161" s="82"/>
      <c r="P161" s="115"/>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row>
    <row r="162" spans="1:46" s="52" customFormat="1" ht="225" customHeight="1" x14ac:dyDescent="0.3">
      <c r="A162" s="306">
        <v>6</v>
      </c>
      <c r="B162" s="306" t="s">
        <v>186</v>
      </c>
      <c r="C162" s="101" t="s">
        <v>177</v>
      </c>
      <c r="D162" s="307" t="s">
        <v>10</v>
      </c>
      <c r="E162" s="308">
        <f>SUM(H162:N162)</f>
        <v>1</v>
      </c>
      <c r="F162" s="309">
        <v>36000</v>
      </c>
      <c r="G162" s="309">
        <f t="shared" si="13"/>
        <v>36000</v>
      </c>
      <c r="H162" s="81"/>
      <c r="I162" s="40"/>
      <c r="J162" s="41"/>
      <c r="K162" s="103">
        <v>1</v>
      </c>
      <c r="L162" s="43"/>
      <c r="M162" s="82"/>
      <c r="N162" s="114"/>
      <c r="O162" s="82"/>
      <c r="P162" s="115"/>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row>
    <row r="163" spans="1:46" s="52" customFormat="1" ht="232.5" customHeight="1" x14ac:dyDescent="0.3">
      <c r="A163" s="306"/>
      <c r="B163" s="306"/>
      <c r="C163" s="102" t="s">
        <v>176</v>
      </c>
      <c r="D163" s="307"/>
      <c r="E163" s="308"/>
      <c r="F163" s="309"/>
      <c r="G163" s="309"/>
      <c r="H163" s="81"/>
      <c r="I163" s="40"/>
      <c r="J163" s="41"/>
      <c r="K163" s="103"/>
      <c r="L163" s="43"/>
      <c r="M163" s="82"/>
      <c r="N163" s="114"/>
      <c r="O163" s="82"/>
      <c r="P163" s="115"/>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row>
    <row r="164" spans="1:46" s="52" customFormat="1" ht="96.6" x14ac:dyDescent="0.3">
      <c r="A164" s="1">
        <v>6</v>
      </c>
      <c r="B164" s="2" t="s">
        <v>184</v>
      </c>
      <c r="C164" s="80" t="s">
        <v>174</v>
      </c>
      <c r="D164" s="134" t="s">
        <v>10</v>
      </c>
      <c r="E164" s="135">
        <f>SUM(H164:N164)</f>
        <v>1</v>
      </c>
      <c r="F164" s="136">
        <v>2100</v>
      </c>
      <c r="G164" s="136">
        <f t="shared" ref="G164:G172" si="15">E164*F164</f>
        <v>2100</v>
      </c>
      <c r="H164" s="81"/>
      <c r="I164" s="40"/>
      <c r="J164" s="41"/>
      <c r="K164" s="133">
        <v>1</v>
      </c>
      <c r="L164" s="43"/>
      <c r="M164" s="82"/>
      <c r="N164" s="114"/>
      <c r="O164" s="82"/>
      <c r="P164" s="115"/>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row>
    <row r="165" spans="1:46" s="52" customFormat="1" ht="124.2" x14ac:dyDescent="0.3">
      <c r="A165" s="1">
        <v>6</v>
      </c>
      <c r="B165" s="2" t="s">
        <v>182</v>
      </c>
      <c r="C165" s="80" t="s">
        <v>172</v>
      </c>
      <c r="D165" s="134" t="s">
        <v>29</v>
      </c>
      <c r="E165" s="135">
        <f t="shared" ref="E165:E172" si="16">SUM(H165:N165)</f>
        <v>16</v>
      </c>
      <c r="F165" s="136">
        <v>80</v>
      </c>
      <c r="G165" s="136">
        <f t="shared" si="15"/>
        <v>1280</v>
      </c>
      <c r="H165" s="81"/>
      <c r="I165" s="40"/>
      <c r="J165" s="41"/>
      <c r="K165" s="133">
        <v>16</v>
      </c>
      <c r="L165" s="43"/>
      <c r="M165" s="82"/>
      <c r="N165" s="114"/>
      <c r="O165" s="82"/>
      <c r="P165" s="115"/>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row>
    <row r="166" spans="1:46" s="52" customFormat="1" ht="124.2" x14ac:dyDescent="0.3">
      <c r="A166" s="1">
        <v>6</v>
      </c>
      <c r="B166" s="2" t="s">
        <v>180</v>
      </c>
      <c r="C166" s="80" t="s">
        <v>170</v>
      </c>
      <c r="D166" s="134" t="s">
        <v>29</v>
      </c>
      <c r="E166" s="135">
        <f t="shared" si="16"/>
        <v>8</v>
      </c>
      <c r="F166" s="136">
        <v>90</v>
      </c>
      <c r="G166" s="136">
        <f t="shared" si="15"/>
        <v>720</v>
      </c>
      <c r="H166" s="81"/>
      <c r="I166" s="40"/>
      <c r="J166" s="41"/>
      <c r="K166" s="133">
        <v>8</v>
      </c>
      <c r="L166" s="43"/>
      <c r="M166" s="82"/>
      <c r="N166" s="114"/>
      <c r="O166" s="82"/>
      <c r="P166" s="115"/>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row>
    <row r="167" spans="1:46" s="52" customFormat="1" ht="96.6" x14ac:dyDescent="0.3">
      <c r="A167" s="1">
        <v>6</v>
      </c>
      <c r="B167" s="2" t="s">
        <v>178</v>
      </c>
      <c r="C167" s="80" t="s">
        <v>168</v>
      </c>
      <c r="D167" s="134" t="s">
        <v>29</v>
      </c>
      <c r="E167" s="135">
        <f t="shared" si="16"/>
        <v>7</v>
      </c>
      <c r="F167" s="136">
        <v>80</v>
      </c>
      <c r="G167" s="136">
        <f t="shared" si="15"/>
        <v>560</v>
      </c>
      <c r="H167" s="81"/>
      <c r="I167" s="40"/>
      <c r="J167" s="41"/>
      <c r="K167" s="133">
        <v>7</v>
      </c>
      <c r="L167" s="43"/>
      <c r="M167" s="82"/>
      <c r="N167" s="114"/>
      <c r="O167" s="82"/>
      <c r="P167" s="115"/>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row>
    <row r="168" spans="1:46" s="52" customFormat="1" ht="124.2" x14ac:dyDescent="0.3">
      <c r="A168" s="1">
        <v>6</v>
      </c>
      <c r="B168" s="2" t="s">
        <v>175</v>
      </c>
      <c r="C168" s="80" t="s">
        <v>166</v>
      </c>
      <c r="D168" s="134" t="s">
        <v>29</v>
      </c>
      <c r="E168" s="135">
        <f t="shared" si="16"/>
        <v>16</v>
      </c>
      <c r="F168" s="136">
        <v>350</v>
      </c>
      <c r="G168" s="136">
        <f t="shared" si="15"/>
        <v>5600</v>
      </c>
      <c r="H168" s="81"/>
      <c r="I168" s="40"/>
      <c r="J168" s="41"/>
      <c r="K168" s="133">
        <v>16</v>
      </c>
      <c r="L168" s="43"/>
      <c r="M168" s="82"/>
      <c r="N168" s="114"/>
      <c r="O168" s="82"/>
      <c r="P168" s="115"/>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row>
    <row r="169" spans="1:46" s="52" customFormat="1" ht="110.4" x14ac:dyDescent="0.3">
      <c r="A169" s="1">
        <v>6</v>
      </c>
      <c r="B169" s="2" t="s">
        <v>173</v>
      </c>
      <c r="C169" s="80" t="s">
        <v>164</v>
      </c>
      <c r="D169" s="134" t="s">
        <v>29</v>
      </c>
      <c r="E169" s="135">
        <f t="shared" si="16"/>
        <v>8</v>
      </c>
      <c r="F169" s="136">
        <v>350</v>
      </c>
      <c r="G169" s="136">
        <f t="shared" si="15"/>
        <v>2800</v>
      </c>
      <c r="H169" s="81"/>
      <c r="I169" s="40"/>
      <c r="J169" s="41"/>
      <c r="K169" s="133">
        <v>8</v>
      </c>
      <c r="L169" s="43"/>
      <c r="M169" s="82"/>
      <c r="N169" s="114"/>
      <c r="O169" s="82"/>
      <c r="P169" s="115"/>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row>
    <row r="170" spans="1:46" s="52" customFormat="1" ht="96.6" x14ac:dyDescent="0.3">
      <c r="A170" s="1">
        <v>6</v>
      </c>
      <c r="B170" s="2" t="s">
        <v>171</v>
      </c>
      <c r="C170" s="80" t="s">
        <v>162</v>
      </c>
      <c r="D170" s="134" t="s">
        <v>29</v>
      </c>
      <c r="E170" s="135">
        <f t="shared" si="16"/>
        <v>1</v>
      </c>
      <c r="F170" s="136">
        <v>120</v>
      </c>
      <c r="G170" s="136">
        <f t="shared" si="15"/>
        <v>120</v>
      </c>
      <c r="H170" s="81"/>
      <c r="I170" s="40"/>
      <c r="J170" s="41"/>
      <c r="K170" s="133">
        <v>1</v>
      </c>
      <c r="L170" s="43"/>
      <c r="M170" s="82"/>
      <c r="N170" s="114"/>
      <c r="O170" s="82"/>
      <c r="P170" s="115"/>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row>
    <row r="171" spans="1:46" s="52" customFormat="1" ht="110.4" x14ac:dyDescent="0.3">
      <c r="A171" s="1">
        <v>6</v>
      </c>
      <c r="B171" s="2" t="s">
        <v>169</v>
      </c>
      <c r="C171" s="80" t="s">
        <v>160</v>
      </c>
      <c r="D171" s="134" t="s">
        <v>29</v>
      </c>
      <c r="E171" s="135">
        <f t="shared" si="16"/>
        <v>7</v>
      </c>
      <c r="F171" s="136">
        <v>120</v>
      </c>
      <c r="G171" s="136">
        <f t="shared" si="15"/>
        <v>840</v>
      </c>
      <c r="H171" s="81"/>
      <c r="I171" s="40"/>
      <c r="J171" s="41"/>
      <c r="K171" s="133">
        <v>7</v>
      </c>
      <c r="L171" s="43"/>
      <c r="M171" s="82"/>
      <c r="N171" s="114"/>
      <c r="O171" s="82"/>
      <c r="P171" s="115"/>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row>
    <row r="172" spans="1:46" s="52" customFormat="1" ht="307.5" customHeight="1" x14ac:dyDescent="0.3">
      <c r="A172" s="1">
        <v>6</v>
      </c>
      <c r="B172" s="2" t="s">
        <v>167</v>
      </c>
      <c r="C172" s="80" t="s">
        <v>158</v>
      </c>
      <c r="D172" s="134" t="s">
        <v>10</v>
      </c>
      <c r="E172" s="135">
        <f t="shared" si="16"/>
        <v>1</v>
      </c>
      <c r="F172" s="136">
        <v>8000</v>
      </c>
      <c r="G172" s="136">
        <f t="shared" si="15"/>
        <v>8000</v>
      </c>
      <c r="H172" s="81"/>
      <c r="I172" s="40"/>
      <c r="J172" s="41"/>
      <c r="K172" s="133">
        <v>1</v>
      </c>
      <c r="L172" s="43"/>
      <c r="M172" s="82"/>
      <c r="N172" s="114"/>
      <c r="O172" s="82"/>
      <c r="P172" s="115"/>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row>
    <row r="173" spans="1:46" s="52" customFormat="1" ht="27.6" x14ac:dyDescent="0.3">
      <c r="A173" s="1">
        <v>1</v>
      </c>
      <c r="B173" s="2" t="s">
        <v>426</v>
      </c>
      <c r="C173" s="80" t="s">
        <v>390</v>
      </c>
      <c r="D173" s="134" t="s">
        <v>29</v>
      </c>
      <c r="E173" s="135">
        <f t="shared" ref="E173:E182" si="17">SUM(H173:N173)</f>
        <v>52</v>
      </c>
      <c r="F173" s="136">
        <v>50</v>
      </c>
      <c r="G173" s="136">
        <f t="shared" ref="G173:G182" si="18">E173*F173</f>
        <v>2600</v>
      </c>
      <c r="H173" s="81"/>
      <c r="I173" s="40"/>
      <c r="J173" s="41"/>
      <c r="K173" s="133">
        <v>52</v>
      </c>
      <c r="L173" s="43"/>
      <c r="P173" s="14"/>
    </row>
    <row r="174" spans="1:46" s="52" customFormat="1" ht="55.2" x14ac:dyDescent="0.3">
      <c r="A174" s="1">
        <v>1</v>
      </c>
      <c r="B174" s="2" t="s">
        <v>427</v>
      </c>
      <c r="C174" s="80" t="s">
        <v>391</v>
      </c>
      <c r="D174" s="134" t="s">
        <v>29</v>
      </c>
      <c r="E174" s="135">
        <f t="shared" si="17"/>
        <v>52</v>
      </c>
      <c r="F174" s="136">
        <v>210</v>
      </c>
      <c r="G174" s="136">
        <f t="shared" si="18"/>
        <v>10920</v>
      </c>
      <c r="H174" s="81"/>
      <c r="I174" s="40"/>
      <c r="J174" s="41"/>
      <c r="K174" s="133">
        <v>52</v>
      </c>
      <c r="L174" s="43"/>
      <c r="P174" s="14"/>
    </row>
    <row r="175" spans="1:46" s="52" customFormat="1" ht="165.6" x14ac:dyDescent="0.3">
      <c r="A175" s="1">
        <v>1</v>
      </c>
      <c r="B175" s="2" t="s">
        <v>428</v>
      </c>
      <c r="C175" s="80" t="s">
        <v>432</v>
      </c>
      <c r="D175" s="134" t="s">
        <v>10</v>
      </c>
      <c r="E175" s="135">
        <f t="shared" si="17"/>
        <v>1</v>
      </c>
      <c r="F175" s="136">
        <v>4500</v>
      </c>
      <c r="G175" s="136">
        <f t="shared" si="18"/>
        <v>4500</v>
      </c>
      <c r="H175" s="81"/>
      <c r="I175" s="40"/>
      <c r="J175" s="41"/>
      <c r="K175" s="133">
        <v>1</v>
      </c>
      <c r="L175" s="43"/>
      <c r="P175" s="14"/>
    </row>
    <row r="176" spans="1:46" s="52" customFormat="1" ht="41.4" x14ac:dyDescent="0.3">
      <c r="A176" s="1">
        <v>1</v>
      </c>
      <c r="B176" s="2" t="s">
        <v>429</v>
      </c>
      <c r="C176" s="80" t="s">
        <v>394</v>
      </c>
      <c r="D176" s="134" t="s">
        <v>10</v>
      </c>
      <c r="E176" s="135">
        <f t="shared" si="17"/>
        <v>3</v>
      </c>
      <c r="F176" s="136">
        <v>500</v>
      </c>
      <c r="G176" s="136">
        <f t="shared" si="18"/>
        <v>1500</v>
      </c>
      <c r="H176" s="81"/>
      <c r="I176" s="40"/>
      <c r="J176" s="41"/>
      <c r="K176" s="133">
        <v>3</v>
      </c>
      <c r="L176" s="43"/>
      <c r="P176" s="14"/>
    </row>
    <row r="177" spans="1:31" s="52" customFormat="1" ht="110.4" x14ac:dyDescent="0.3">
      <c r="A177" s="1">
        <v>6</v>
      </c>
      <c r="B177" s="2" t="s">
        <v>430</v>
      </c>
      <c r="C177" s="80" t="s">
        <v>296</v>
      </c>
      <c r="D177" s="134" t="s">
        <v>10</v>
      </c>
      <c r="E177" s="135">
        <f t="shared" si="17"/>
        <v>1</v>
      </c>
      <c r="F177" s="136">
        <v>5000</v>
      </c>
      <c r="G177" s="136">
        <f t="shared" si="18"/>
        <v>5000</v>
      </c>
      <c r="H177" s="81"/>
      <c r="I177" s="40"/>
      <c r="J177" s="41"/>
      <c r="K177" s="133">
        <v>1</v>
      </c>
      <c r="L177" s="43"/>
      <c r="P177" s="14"/>
      <c r="AE177" s="14"/>
    </row>
    <row r="178" spans="1:31" s="52" customFormat="1" ht="96.6" x14ac:dyDescent="0.3">
      <c r="A178" s="1">
        <v>6</v>
      </c>
      <c r="B178" s="2" t="s">
        <v>431</v>
      </c>
      <c r="C178" s="80" t="s">
        <v>297</v>
      </c>
      <c r="D178" s="134" t="s">
        <v>10</v>
      </c>
      <c r="E178" s="135">
        <f t="shared" si="17"/>
        <v>1</v>
      </c>
      <c r="F178" s="136">
        <v>1300</v>
      </c>
      <c r="G178" s="136">
        <f t="shared" si="18"/>
        <v>1300</v>
      </c>
      <c r="H178" s="81"/>
      <c r="I178" s="40"/>
      <c r="J178" s="41"/>
      <c r="K178" s="133">
        <v>1</v>
      </c>
      <c r="L178" s="43"/>
      <c r="P178" s="14"/>
    </row>
    <row r="179" spans="1:31" s="52" customFormat="1" ht="69" x14ac:dyDescent="0.3">
      <c r="A179" s="1">
        <v>6</v>
      </c>
      <c r="B179" s="2" t="s">
        <v>433</v>
      </c>
      <c r="C179" s="80" t="s">
        <v>298</v>
      </c>
      <c r="D179" s="134" t="s">
        <v>10</v>
      </c>
      <c r="E179" s="135">
        <f t="shared" si="17"/>
        <v>1</v>
      </c>
      <c r="F179" s="136">
        <v>1200</v>
      </c>
      <c r="G179" s="136">
        <f t="shared" si="18"/>
        <v>1200</v>
      </c>
      <c r="H179" s="81"/>
      <c r="I179" s="40"/>
      <c r="J179" s="41"/>
      <c r="K179" s="133">
        <v>1</v>
      </c>
      <c r="L179" s="43"/>
      <c r="P179" s="14"/>
    </row>
    <row r="180" spans="1:31" s="52" customFormat="1" ht="69" x14ac:dyDescent="0.3">
      <c r="A180" s="1">
        <v>6</v>
      </c>
      <c r="B180" s="2" t="s">
        <v>434</v>
      </c>
      <c r="C180" s="80" t="s">
        <v>299</v>
      </c>
      <c r="D180" s="134" t="s">
        <v>10</v>
      </c>
      <c r="E180" s="135">
        <f t="shared" si="17"/>
        <v>1</v>
      </c>
      <c r="F180" s="136">
        <v>3000</v>
      </c>
      <c r="G180" s="136">
        <f t="shared" si="18"/>
        <v>3000</v>
      </c>
      <c r="H180" s="81"/>
      <c r="I180" s="40"/>
      <c r="J180" s="41"/>
      <c r="K180" s="133">
        <v>1</v>
      </c>
      <c r="L180" s="43"/>
      <c r="P180" s="14"/>
    </row>
    <row r="181" spans="1:31" s="52" customFormat="1" ht="69" x14ac:dyDescent="0.3">
      <c r="A181" s="1">
        <v>6</v>
      </c>
      <c r="B181" s="2" t="s">
        <v>435</v>
      </c>
      <c r="C181" s="80" t="s">
        <v>300</v>
      </c>
      <c r="D181" s="134" t="s">
        <v>10</v>
      </c>
      <c r="E181" s="135">
        <f t="shared" si="17"/>
        <v>1</v>
      </c>
      <c r="F181" s="136">
        <v>2000</v>
      </c>
      <c r="G181" s="136">
        <f t="shared" si="18"/>
        <v>2000</v>
      </c>
      <c r="H181" s="81"/>
      <c r="I181" s="40"/>
      <c r="J181" s="41"/>
      <c r="K181" s="133">
        <v>1</v>
      </c>
      <c r="L181" s="43"/>
      <c r="P181" s="14"/>
    </row>
    <row r="182" spans="1:31" s="52" customFormat="1" ht="69" x14ac:dyDescent="0.3">
      <c r="A182" s="1">
        <v>6</v>
      </c>
      <c r="B182" s="2" t="s">
        <v>436</v>
      </c>
      <c r="C182" s="80" t="s">
        <v>301</v>
      </c>
      <c r="D182" s="134" t="s">
        <v>10</v>
      </c>
      <c r="E182" s="135">
        <f t="shared" si="17"/>
        <v>1</v>
      </c>
      <c r="F182" s="136">
        <v>16000</v>
      </c>
      <c r="G182" s="136">
        <f t="shared" si="18"/>
        <v>16000</v>
      </c>
      <c r="H182" s="81"/>
      <c r="I182" s="40"/>
      <c r="J182" s="41"/>
      <c r="K182" s="133">
        <v>1</v>
      </c>
      <c r="L182" s="43"/>
    </row>
    <row r="183" spans="1:31" x14ac:dyDescent="0.3">
      <c r="A183" s="28" t="s">
        <v>97</v>
      </c>
      <c r="B183" s="29"/>
      <c r="C183" s="46" t="s">
        <v>95</v>
      </c>
      <c r="D183" s="31"/>
      <c r="E183" s="32"/>
      <c r="F183" s="33"/>
      <c r="G183" s="33"/>
      <c r="H183" s="63"/>
      <c r="I183" s="60"/>
      <c r="J183" s="42"/>
      <c r="K183" s="133"/>
      <c r="L183" s="68"/>
      <c r="M183" s="70"/>
      <c r="N183" s="51"/>
      <c r="O183" s="52"/>
      <c r="P183" s="52"/>
      <c r="Q183" s="52"/>
    </row>
    <row r="184" spans="1:31" ht="96.6" x14ac:dyDescent="0.3">
      <c r="A184" s="1">
        <v>7</v>
      </c>
      <c r="B184" s="2" t="s">
        <v>8</v>
      </c>
      <c r="C184" s="45" t="s">
        <v>96</v>
      </c>
      <c r="D184" s="134" t="s">
        <v>18</v>
      </c>
      <c r="E184" s="135">
        <f>SUM(H184:N184)</f>
        <v>0</v>
      </c>
      <c r="F184" s="136">
        <v>450</v>
      </c>
      <c r="G184" s="136">
        <f>E184*F184</f>
        <v>0</v>
      </c>
      <c r="H184" s="63"/>
      <c r="I184" s="60"/>
      <c r="J184" s="42"/>
      <c r="K184" s="133"/>
      <c r="L184" s="68"/>
      <c r="M184" s="70"/>
      <c r="N184" s="51"/>
      <c r="O184" s="52"/>
      <c r="P184" s="52"/>
      <c r="Q184" s="52"/>
    </row>
    <row r="185" spans="1:31" x14ac:dyDescent="0.3">
      <c r="A185" s="28" t="s">
        <v>102</v>
      </c>
      <c r="B185" s="29"/>
      <c r="C185" s="46" t="s">
        <v>98</v>
      </c>
      <c r="D185" s="31"/>
      <c r="E185" s="32"/>
      <c r="F185" s="33"/>
      <c r="G185" s="33"/>
      <c r="H185" s="63"/>
      <c r="I185" s="60"/>
      <c r="J185" s="42"/>
      <c r="K185" s="133"/>
      <c r="L185" s="68"/>
      <c r="M185" s="70"/>
      <c r="N185" s="51"/>
      <c r="O185" s="52"/>
      <c r="P185" s="52"/>
      <c r="Q185" s="52"/>
    </row>
    <row r="186" spans="1:31" ht="207" x14ac:dyDescent="0.3">
      <c r="A186" s="1">
        <v>8</v>
      </c>
      <c r="B186" s="2" t="s">
        <v>8</v>
      </c>
      <c r="C186" s="45" t="s">
        <v>99</v>
      </c>
      <c r="D186" s="134" t="s">
        <v>25</v>
      </c>
      <c r="E186" s="135">
        <f>SUM(H186:N186)</f>
        <v>21.119999999999997</v>
      </c>
      <c r="F186" s="136">
        <f>O186</f>
        <v>558</v>
      </c>
      <c r="G186" s="136">
        <f>$E186*$F186</f>
        <v>11784.96</v>
      </c>
      <c r="H186" s="63"/>
      <c r="I186" s="60"/>
      <c r="J186" s="42">
        <f>5.76+7.68+7.68</f>
        <v>21.119999999999997</v>
      </c>
      <c r="K186" s="133"/>
      <c r="L186" s="68"/>
      <c r="M186" s="70"/>
      <c r="N186" s="51"/>
      <c r="O186" s="52">
        <f>258+50+250</f>
        <v>558</v>
      </c>
      <c r="P186" s="52"/>
      <c r="Q186" s="52">
        <v>360</v>
      </c>
    </row>
    <row r="187" spans="1:31" ht="151.80000000000001" x14ac:dyDescent="0.3">
      <c r="A187" s="1">
        <v>8</v>
      </c>
      <c r="B187" s="2" t="s">
        <v>11</v>
      </c>
      <c r="C187" s="45" t="s">
        <v>100</v>
      </c>
      <c r="D187" s="134" t="s">
        <v>25</v>
      </c>
      <c r="E187" s="135">
        <f>SUM(H187:N187)</f>
        <v>21.12</v>
      </c>
      <c r="F187" s="136">
        <v>168</v>
      </c>
      <c r="G187" s="136">
        <f t="shared" ref="G187:G188" si="19">$E187*$F187</f>
        <v>3548.1600000000003</v>
      </c>
      <c r="H187" s="63"/>
      <c r="I187" s="60"/>
      <c r="J187" s="42">
        <v>21.12</v>
      </c>
      <c r="K187" s="133"/>
      <c r="L187" s="68"/>
      <c r="M187" s="70"/>
      <c r="N187" s="51"/>
      <c r="O187" s="52">
        <f>168+90</f>
        <v>258</v>
      </c>
      <c r="P187" s="52"/>
      <c r="Q187" s="52">
        <v>170</v>
      </c>
    </row>
    <row r="188" spans="1:31" ht="138" x14ac:dyDescent="0.3">
      <c r="A188" s="1">
        <v>8</v>
      </c>
      <c r="B188" s="2" t="s">
        <v>13</v>
      </c>
      <c r="C188" s="45" t="s">
        <v>101</v>
      </c>
      <c r="D188" s="134" t="s">
        <v>25</v>
      </c>
      <c r="E188" s="135">
        <f>SUM(H188:N188)</f>
        <v>0</v>
      </c>
      <c r="F188" s="44">
        <v>55</v>
      </c>
      <c r="G188" s="136">
        <f t="shared" si="19"/>
        <v>0</v>
      </c>
      <c r="H188" s="63"/>
      <c r="I188" s="60"/>
      <c r="J188" s="42"/>
      <c r="K188" s="133"/>
      <c r="L188" s="68"/>
      <c r="M188" s="70"/>
      <c r="N188" s="51"/>
      <c r="O188" s="52">
        <f>168+90</f>
        <v>258</v>
      </c>
      <c r="P188" s="52"/>
      <c r="Q188" s="52">
        <v>170</v>
      </c>
    </row>
    <row r="189" spans="1:31" x14ac:dyDescent="0.3">
      <c r="A189" s="28" t="s">
        <v>105</v>
      </c>
      <c r="B189" s="29"/>
      <c r="C189" s="46" t="s">
        <v>103</v>
      </c>
      <c r="D189" s="31"/>
      <c r="E189" s="32"/>
      <c r="F189" s="33"/>
      <c r="G189" s="33"/>
      <c r="H189" s="63"/>
      <c r="I189" s="60"/>
      <c r="J189" s="42"/>
      <c r="K189" s="133"/>
      <c r="L189" s="68"/>
      <c r="M189" s="70"/>
      <c r="N189" s="51"/>
      <c r="O189" s="52"/>
      <c r="P189" s="52"/>
      <c r="Q189" s="52"/>
    </row>
    <row r="190" spans="1:31" ht="82.8" x14ac:dyDescent="0.3">
      <c r="A190" s="1">
        <v>9</v>
      </c>
      <c r="B190" s="2" t="s">
        <v>8</v>
      </c>
      <c r="C190" s="45" t="s">
        <v>104</v>
      </c>
      <c r="D190" s="48" t="s">
        <v>25</v>
      </c>
      <c r="E190" s="49">
        <f>SUM(H190:N190)</f>
        <v>15.82</v>
      </c>
      <c r="F190" s="50">
        <v>430</v>
      </c>
      <c r="G190" s="50">
        <f>$E190*$F190</f>
        <v>6802.6</v>
      </c>
      <c r="H190" s="63"/>
      <c r="I190" s="60"/>
      <c r="J190" s="42">
        <f>5.51+5.51+4.8</f>
        <v>15.82</v>
      </c>
      <c r="K190" s="133"/>
      <c r="L190" s="68"/>
      <c r="M190" s="70"/>
      <c r="N190" s="51"/>
      <c r="O190" s="53"/>
      <c r="P190" s="53"/>
      <c r="Q190" s="53"/>
    </row>
    <row r="191" spans="1:31" x14ac:dyDescent="0.3">
      <c r="A191" s="28" t="s">
        <v>117</v>
      </c>
      <c r="B191" s="29"/>
      <c r="C191" s="46" t="s">
        <v>106</v>
      </c>
      <c r="D191" s="31"/>
      <c r="E191" s="32"/>
      <c r="F191" s="33"/>
      <c r="G191" s="33"/>
      <c r="H191" s="63"/>
      <c r="I191" s="60"/>
      <c r="J191" s="42"/>
      <c r="K191" s="133"/>
      <c r="L191" s="68"/>
      <c r="M191" s="70"/>
      <c r="N191" s="51"/>
      <c r="O191" s="52"/>
      <c r="P191" s="52"/>
      <c r="Q191" s="52"/>
    </row>
    <row r="192" spans="1:31" ht="193.2" x14ac:dyDescent="0.3">
      <c r="A192" s="1">
        <v>10</v>
      </c>
      <c r="B192" s="2" t="s">
        <v>8</v>
      </c>
      <c r="C192" s="3" t="s">
        <v>441</v>
      </c>
      <c r="D192" s="134" t="s">
        <v>25</v>
      </c>
      <c r="E192" s="135">
        <f>SUM(H192:N192)</f>
        <v>146.57</v>
      </c>
      <c r="F192" s="136">
        <v>84</v>
      </c>
      <c r="G192" s="136">
        <f>$E192*$F192</f>
        <v>12311.88</v>
      </c>
      <c r="H192" s="63"/>
      <c r="I192" s="60"/>
      <c r="J192" s="42">
        <f>46.18+50.34+50.05</f>
        <v>146.57</v>
      </c>
      <c r="K192" s="133"/>
      <c r="L192" s="68"/>
      <c r="M192" s="70"/>
      <c r="N192" s="51"/>
      <c r="O192" s="52">
        <v>80</v>
      </c>
      <c r="P192" s="52"/>
      <c r="Q192" s="52">
        <v>60</v>
      </c>
    </row>
    <row r="193" spans="1:17" x14ac:dyDescent="0.3">
      <c r="A193" s="34"/>
      <c r="B193" s="74"/>
      <c r="C193" s="75"/>
      <c r="D193" s="139"/>
      <c r="E193" s="141"/>
      <c r="F193" s="136" t="s">
        <v>19</v>
      </c>
      <c r="G193" s="136">
        <f>SUM(G49:G192)</f>
        <v>987964.39199999999</v>
      </c>
      <c r="H193" s="63"/>
      <c r="I193" s="60"/>
      <c r="J193" s="42"/>
      <c r="K193" s="133"/>
      <c r="L193" s="68"/>
      <c r="M193" s="70"/>
      <c r="N193" s="51"/>
      <c r="O193" s="52"/>
      <c r="P193" s="52"/>
      <c r="Q193" s="52"/>
    </row>
    <row r="194" spans="1:17" x14ac:dyDescent="0.3">
      <c r="A194" s="76"/>
      <c r="B194" s="35"/>
      <c r="C194" s="77"/>
      <c r="D194" s="78"/>
      <c r="E194" s="79"/>
      <c r="F194" s="136" t="s">
        <v>20</v>
      </c>
      <c r="G194" s="136">
        <f>G193*0.25</f>
        <v>246991.098</v>
      </c>
      <c r="H194" s="63"/>
      <c r="I194" s="60"/>
      <c r="J194" s="42"/>
      <c r="K194" s="133"/>
      <c r="L194" s="68"/>
      <c r="M194" s="70"/>
      <c r="N194" s="51"/>
      <c r="O194" s="52"/>
      <c r="P194" s="52"/>
      <c r="Q194" s="52"/>
    </row>
    <row r="195" spans="1:17" x14ac:dyDescent="0.3">
      <c r="A195" s="76"/>
      <c r="B195" s="35"/>
      <c r="C195" s="77"/>
      <c r="D195" s="78"/>
      <c r="E195" s="79"/>
      <c r="F195" s="13" t="s">
        <v>21</v>
      </c>
      <c r="G195" s="136">
        <f>SUM(G193:G194)</f>
        <v>1234955.49</v>
      </c>
      <c r="H195" s="63"/>
      <c r="I195" s="60"/>
      <c r="J195" s="42"/>
      <c r="K195" s="133"/>
      <c r="L195" s="68"/>
      <c r="M195" s="70"/>
      <c r="N195" s="51"/>
      <c r="O195" s="52"/>
      <c r="P195" s="52"/>
      <c r="Q195" s="52"/>
    </row>
  </sheetData>
  <mergeCells count="14">
    <mergeCell ref="K149:K150"/>
    <mergeCell ref="A162:A163"/>
    <mergeCell ref="B162:B163"/>
    <mergeCell ref="D162:D163"/>
    <mergeCell ref="E162:E163"/>
    <mergeCell ref="F162:F163"/>
    <mergeCell ref="G162:G163"/>
    <mergeCell ref="A23:G23"/>
    <mergeCell ref="A149:A150"/>
    <mergeCell ref="B149:B150"/>
    <mergeCell ref="D149:D150"/>
    <mergeCell ref="E149:E150"/>
    <mergeCell ref="F149:F150"/>
    <mergeCell ref="G149:G150"/>
  </mergeCells>
  <pageMargins left="0.98425196850393704" right="0.39370078740157483" top="1.1811023622047245" bottom="0.78740157480314965" header="0.39370078740157483" footer="0.39370078740157483"/>
  <pageSetup paperSize="9" scale="96" orientation="portrait" r:id="rId1"/>
  <headerFooter>
    <oddHeader>&amp;L&amp;G&amp;R&amp;G</oddHeader>
    <oddFooter xml:space="preserve">&amp;L&amp;"-,Bold"&amp;9TROŠKOVNIK &amp;A&amp;"-,Regular"     &amp;KFF0000 &amp;K000000GRAĐEVINSKI PROJEKT - PROJEKT POPRAVKA GRAĐEVINSKE KONSTRUKCIJE     GPP-13/21&amp;R&amp;"-,Bold"&amp;9&amp;P/&amp;N   </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81D30-C6ED-4E2B-8034-64AFD308A5EC}">
  <sheetPr codeName="Sheet16"/>
  <dimension ref="A23:AT261"/>
  <sheetViews>
    <sheetView topLeftCell="A116" zoomScale="85" zoomScaleNormal="85" workbookViewId="0">
      <selection activeCell="C116" sqref="C116"/>
    </sheetView>
  </sheetViews>
  <sheetFormatPr defaultRowHeight="14.4" x14ac:dyDescent="0.3"/>
  <cols>
    <col min="1" max="1" width="3.6640625" style="8" customWidth="1"/>
    <col min="2" max="2" width="3.6640625" style="9" customWidth="1"/>
    <col min="3" max="3" width="40.6640625" style="10" customWidth="1"/>
    <col min="4" max="4" width="7.6640625" style="11" customWidth="1"/>
    <col min="5" max="5" width="8.6640625" style="12" customWidth="1"/>
    <col min="6" max="6" width="12.6640625" style="14" customWidth="1"/>
    <col min="7" max="7" width="13.6640625" style="14" customWidth="1"/>
    <col min="8" max="8" width="8.88671875" style="61" bestFit="1" customWidth="1"/>
    <col min="9" max="9" width="11" style="58" bestFit="1" customWidth="1"/>
    <col min="10" max="10" width="8.88671875" style="57" bestFit="1" customWidth="1"/>
    <col min="11" max="11" width="8.88671875" style="96" customWidth="1"/>
    <col min="12" max="12" width="8.88671875" style="72" customWidth="1"/>
    <col min="13" max="13" width="8.88671875" style="73" customWidth="1"/>
    <col min="14" max="14" width="8.88671875" style="55" bestFit="1" customWidth="1"/>
    <col min="15" max="15" width="12" hidden="1" customWidth="1"/>
    <col min="16" max="16" width="5" hidden="1" customWidth="1"/>
    <col min="17" max="17" width="11.33203125" hidden="1" customWidth="1"/>
    <col min="26" max="26" width="11.109375" bestFit="1" customWidth="1"/>
    <col min="31" max="31" width="12.44140625" bestFit="1" customWidth="1"/>
  </cols>
  <sheetData>
    <row r="23" spans="1:7" ht="71.25" customHeight="1" x14ac:dyDescent="0.3">
      <c r="A23" s="287" t="s">
        <v>139</v>
      </c>
      <c r="B23" s="288"/>
      <c r="C23" s="288"/>
      <c r="D23" s="288"/>
      <c r="E23" s="288"/>
      <c r="F23" s="288"/>
      <c r="G23" s="288"/>
    </row>
    <row r="47" spans="1:17" ht="41.4" x14ac:dyDescent="0.3">
      <c r="A47" s="15" t="s">
        <v>0</v>
      </c>
      <c r="B47" s="16"/>
      <c r="C47" s="17" t="s">
        <v>1</v>
      </c>
      <c r="D47" s="18" t="s">
        <v>2</v>
      </c>
      <c r="E47" s="19" t="s">
        <v>3</v>
      </c>
      <c r="F47" s="20" t="s">
        <v>4</v>
      </c>
      <c r="G47" s="21" t="s">
        <v>5</v>
      </c>
      <c r="H47" s="62" t="s">
        <v>110</v>
      </c>
      <c r="I47" s="59" t="s">
        <v>111</v>
      </c>
      <c r="J47" s="54" t="s">
        <v>112</v>
      </c>
      <c r="K47" s="97" t="s">
        <v>114</v>
      </c>
      <c r="L47" s="67" t="s">
        <v>115</v>
      </c>
      <c r="M47" s="69" t="s">
        <v>116</v>
      </c>
      <c r="N47" s="56" t="s">
        <v>113</v>
      </c>
      <c r="O47" s="52" t="s">
        <v>107</v>
      </c>
      <c r="P47" s="52" t="s">
        <v>108</v>
      </c>
      <c r="Q47" s="52" t="s">
        <v>109</v>
      </c>
    </row>
    <row r="48" spans="1:17" x14ac:dyDescent="0.3">
      <c r="A48" s="15"/>
      <c r="B48" s="16"/>
      <c r="C48" s="17"/>
      <c r="D48" s="18"/>
      <c r="E48" s="19"/>
      <c r="F48" s="20"/>
      <c r="G48" s="21"/>
      <c r="H48" s="62"/>
      <c r="I48" s="59"/>
      <c r="J48" s="54"/>
      <c r="K48" s="97"/>
      <c r="L48" s="67"/>
      <c r="M48" s="69"/>
      <c r="N48" s="56"/>
      <c r="O48" s="52"/>
      <c r="P48" s="52"/>
      <c r="Q48" s="52"/>
    </row>
    <row r="49" spans="1:17" x14ac:dyDescent="0.3">
      <c r="A49" s="28" t="s">
        <v>6</v>
      </c>
      <c r="B49" s="29"/>
      <c r="C49" s="30" t="s">
        <v>7</v>
      </c>
      <c r="D49" s="31"/>
      <c r="E49" s="32"/>
      <c r="F49" s="33"/>
      <c r="G49" s="33"/>
    </row>
    <row r="50" spans="1:17" ht="331.2" x14ac:dyDescent="0.3">
      <c r="A50" s="1">
        <v>1</v>
      </c>
      <c r="B50" s="2" t="s">
        <v>8</v>
      </c>
      <c r="C50" s="3" t="s">
        <v>22</v>
      </c>
      <c r="D50" s="123" t="s">
        <v>10</v>
      </c>
      <c r="E50" s="124">
        <v>1</v>
      </c>
      <c r="F50" s="125">
        <f>SUM(H50:N50)</f>
        <v>25000</v>
      </c>
      <c r="G50" s="125">
        <f t="shared" ref="G50:G68" si="0">$E50*$F50</f>
        <v>25000</v>
      </c>
      <c r="H50" s="63">
        <v>8000</v>
      </c>
      <c r="I50" s="60">
        <v>8000</v>
      </c>
      <c r="J50" s="42">
        <v>6000</v>
      </c>
      <c r="K50" s="126"/>
      <c r="L50" s="68"/>
      <c r="M50" s="70"/>
      <c r="N50" s="51">
        <v>3000</v>
      </c>
      <c r="O50" s="52"/>
      <c r="P50" s="52"/>
      <c r="Q50" s="52"/>
    </row>
    <row r="51" spans="1:17" ht="220.8" x14ac:dyDescent="0.3">
      <c r="A51" s="1">
        <v>1</v>
      </c>
      <c r="B51" s="2" t="s">
        <v>11</v>
      </c>
      <c r="C51" s="3" t="s">
        <v>23</v>
      </c>
      <c r="D51" s="123" t="s">
        <v>10</v>
      </c>
      <c r="E51" s="124">
        <v>1</v>
      </c>
      <c r="F51" s="125">
        <f>SUM(H51:N51)</f>
        <v>155000</v>
      </c>
      <c r="G51" s="125">
        <f t="shared" si="0"/>
        <v>155000</v>
      </c>
      <c r="H51" s="63">
        <v>65000</v>
      </c>
      <c r="I51" s="60">
        <v>55000</v>
      </c>
      <c r="J51" s="42">
        <v>20000</v>
      </c>
      <c r="K51" s="126"/>
      <c r="L51" s="68"/>
      <c r="M51" s="70"/>
      <c r="N51" s="51">
        <v>15000</v>
      </c>
      <c r="O51" s="52"/>
      <c r="P51" s="52"/>
      <c r="Q51" s="52"/>
    </row>
    <row r="52" spans="1:17" ht="138" x14ac:dyDescent="0.3">
      <c r="A52" s="1">
        <v>1</v>
      </c>
      <c r="B52" s="2" t="s">
        <v>13</v>
      </c>
      <c r="C52" s="3" t="s">
        <v>24</v>
      </c>
      <c r="D52" s="123" t="s">
        <v>25</v>
      </c>
      <c r="E52" s="124">
        <f t="shared" ref="E52:E69" si="1">SUM(H52:N52)</f>
        <v>2902.4</v>
      </c>
      <c r="F52" s="125">
        <v>200</v>
      </c>
      <c r="G52" s="125">
        <f t="shared" si="0"/>
        <v>580480</v>
      </c>
      <c r="H52" s="63">
        <f>165*11</f>
        <v>1815</v>
      </c>
      <c r="I52" s="60">
        <f>111*9.4</f>
        <v>1043.4000000000001</v>
      </c>
      <c r="J52" s="42">
        <f>4*11</f>
        <v>44</v>
      </c>
      <c r="K52" s="126"/>
      <c r="L52" s="68"/>
      <c r="M52" s="70"/>
      <c r="N52" s="51"/>
      <c r="O52" s="52"/>
      <c r="P52" s="52"/>
      <c r="Q52" s="52"/>
    </row>
    <row r="53" spans="1:17" ht="179.4" x14ac:dyDescent="0.3">
      <c r="A53" s="1">
        <v>1</v>
      </c>
      <c r="B53" s="2" t="s">
        <v>26</v>
      </c>
      <c r="C53" s="3" t="s">
        <v>27</v>
      </c>
      <c r="D53" s="123" t="s">
        <v>18</v>
      </c>
      <c r="E53" s="124">
        <f t="shared" si="1"/>
        <v>323</v>
      </c>
      <c r="F53" s="125">
        <v>100</v>
      </c>
      <c r="G53" s="125">
        <f t="shared" si="0"/>
        <v>32300</v>
      </c>
      <c r="H53" s="63">
        <v>188</v>
      </c>
      <c r="I53" s="60">
        <v>135</v>
      </c>
      <c r="J53" s="42"/>
      <c r="K53" s="126"/>
      <c r="L53" s="68"/>
      <c r="M53" s="70"/>
      <c r="N53" s="51"/>
      <c r="O53" s="52"/>
      <c r="P53" s="52"/>
      <c r="Q53" s="52"/>
    </row>
    <row r="54" spans="1:17" ht="151.80000000000001" x14ac:dyDescent="0.3">
      <c r="A54" s="1">
        <v>1</v>
      </c>
      <c r="B54" s="2" t="s">
        <v>28</v>
      </c>
      <c r="C54" s="3" t="s">
        <v>439</v>
      </c>
      <c r="D54" s="123" t="s">
        <v>29</v>
      </c>
      <c r="E54" s="124">
        <f t="shared" si="1"/>
        <v>10</v>
      </c>
      <c r="F54" s="125">
        <v>500</v>
      </c>
      <c r="G54" s="125">
        <f t="shared" si="0"/>
        <v>5000</v>
      </c>
      <c r="H54" s="63"/>
      <c r="I54" s="60"/>
      <c r="J54" s="42"/>
      <c r="K54" s="126"/>
      <c r="L54" s="68"/>
      <c r="M54" s="70"/>
      <c r="N54" s="51">
        <v>10</v>
      </c>
      <c r="O54" s="52"/>
      <c r="P54" s="52"/>
      <c r="Q54" s="52"/>
    </row>
    <row r="55" spans="1:17" ht="165.6" x14ac:dyDescent="0.3">
      <c r="A55" s="1">
        <v>1</v>
      </c>
      <c r="B55" s="2" t="s">
        <v>30</v>
      </c>
      <c r="C55" s="3" t="s">
        <v>437</v>
      </c>
      <c r="D55" s="123" t="s">
        <v>29</v>
      </c>
      <c r="E55" s="124">
        <f t="shared" si="1"/>
        <v>2</v>
      </c>
      <c r="F55" s="125">
        <v>800</v>
      </c>
      <c r="G55" s="125">
        <f t="shared" si="0"/>
        <v>1600</v>
      </c>
      <c r="H55" s="63"/>
      <c r="I55" s="60"/>
      <c r="J55" s="42">
        <v>2</v>
      </c>
      <c r="K55" s="126"/>
      <c r="L55" s="68"/>
      <c r="M55" s="70"/>
      <c r="N55" s="51"/>
      <c r="O55" s="52"/>
      <c r="P55" s="52"/>
      <c r="Q55" s="52"/>
    </row>
    <row r="56" spans="1:17" ht="165.6" x14ac:dyDescent="0.3">
      <c r="A56" s="1">
        <v>1</v>
      </c>
      <c r="B56" s="2" t="s">
        <v>31</v>
      </c>
      <c r="C56" s="3" t="s">
        <v>32</v>
      </c>
      <c r="D56" s="123" t="s">
        <v>29</v>
      </c>
      <c r="E56" s="124">
        <f t="shared" si="1"/>
        <v>4</v>
      </c>
      <c r="F56" s="125">
        <v>500</v>
      </c>
      <c r="G56" s="125">
        <f t="shared" si="0"/>
        <v>2000</v>
      </c>
      <c r="H56" s="63"/>
      <c r="I56" s="60"/>
      <c r="J56" s="42">
        <v>3</v>
      </c>
      <c r="K56" s="126"/>
      <c r="L56" s="68"/>
      <c r="M56" s="70"/>
      <c r="N56" s="51">
        <v>1</v>
      </c>
      <c r="O56" s="52"/>
      <c r="P56" s="52"/>
      <c r="Q56" s="52"/>
    </row>
    <row r="57" spans="1:17" ht="165.6" x14ac:dyDescent="0.3">
      <c r="A57" s="1">
        <v>1</v>
      </c>
      <c r="B57" s="2" t="s">
        <v>33</v>
      </c>
      <c r="C57" s="3" t="s">
        <v>34</v>
      </c>
      <c r="D57" s="123" t="s">
        <v>29</v>
      </c>
      <c r="E57" s="124">
        <f t="shared" si="1"/>
        <v>1</v>
      </c>
      <c r="F57" s="125">
        <v>3000</v>
      </c>
      <c r="G57" s="125">
        <f t="shared" si="0"/>
        <v>3000</v>
      </c>
      <c r="H57" s="63">
        <v>1</v>
      </c>
      <c r="I57" s="60"/>
      <c r="J57" s="42"/>
      <c r="K57" s="126"/>
      <c r="L57" s="68"/>
      <c r="M57" s="70"/>
      <c r="N57" s="51"/>
      <c r="O57" s="52"/>
      <c r="P57" s="52"/>
      <c r="Q57" s="52"/>
    </row>
    <row r="58" spans="1:17" ht="110.4" x14ac:dyDescent="0.3">
      <c r="A58" s="1">
        <v>1</v>
      </c>
      <c r="B58" s="2" t="s">
        <v>35</v>
      </c>
      <c r="C58" s="3" t="s">
        <v>36</v>
      </c>
      <c r="D58" s="123" t="s">
        <v>37</v>
      </c>
      <c r="E58" s="124">
        <f t="shared" si="1"/>
        <v>0.54</v>
      </c>
      <c r="F58" s="125">
        <v>1500</v>
      </c>
      <c r="G58" s="125">
        <f t="shared" si="0"/>
        <v>810</v>
      </c>
      <c r="H58" s="63"/>
      <c r="I58" s="60"/>
      <c r="J58" s="42">
        <v>0.54</v>
      </c>
      <c r="K58" s="126"/>
      <c r="L58" s="68"/>
      <c r="M58" s="70"/>
      <c r="N58" s="51"/>
      <c r="O58" s="52"/>
      <c r="P58" s="52"/>
      <c r="Q58" s="52"/>
    </row>
    <row r="59" spans="1:17" ht="151.80000000000001" x14ac:dyDescent="0.3">
      <c r="A59" s="1">
        <v>1</v>
      </c>
      <c r="B59" s="2" t="s">
        <v>38</v>
      </c>
      <c r="C59" s="3" t="s">
        <v>39</v>
      </c>
      <c r="D59" s="123" t="s">
        <v>37</v>
      </c>
      <c r="E59" s="124">
        <f t="shared" si="1"/>
        <v>0.51</v>
      </c>
      <c r="F59" s="125">
        <v>2800</v>
      </c>
      <c r="G59" s="125">
        <f t="shared" si="0"/>
        <v>1428</v>
      </c>
      <c r="H59" s="63"/>
      <c r="I59" s="60"/>
      <c r="J59" s="42"/>
      <c r="K59" s="126"/>
      <c r="L59" s="68"/>
      <c r="M59" s="70"/>
      <c r="N59" s="51">
        <v>0.51</v>
      </c>
      <c r="O59" s="52"/>
      <c r="P59" s="52"/>
      <c r="Q59" s="52"/>
    </row>
    <row r="60" spans="1:17" ht="138" x14ac:dyDescent="0.3">
      <c r="A60" s="1">
        <v>1</v>
      </c>
      <c r="B60" s="2" t="s">
        <v>40</v>
      </c>
      <c r="C60" s="3" t="s">
        <v>41</v>
      </c>
      <c r="D60" s="123" t="s">
        <v>37</v>
      </c>
      <c r="E60" s="124">
        <f t="shared" si="1"/>
        <v>0.86199999999999999</v>
      </c>
      <c r="F60" s="125">
        <v>2500</v>
      </c>
      <c r="G60" s="125">
        <f t="shared" si="0"/>
        <v>2155</v>
      </c>
      <c r="H60" s="63"/>
      <c r="I60" s="60"/>
      <c r="J60" s="42">
        <f>0.304+0.282+0.276</f>
        <v>0.86199999999999999</v>
      </c>
      <c r="K60" s="126"/>
      <c r="L60" s="68"/>
      <c r="M60" s="70"/>
      <c r="N60" s="51"/>
      <c r="O60" s="52"/>
      <c r="P60" s="52"/>
      <c r="Q60" s="52"/>
    </row>
    <row r="61" spans="1:17" ht="248.4" x14ac:dyDescent="0.3">
      <c r="A61" s="1">
        <v>1</v>
      </c>
      <c r="B61" s="2" t="s">
        <v>42</v>
      </c>
      <c r="C61" s="3" t="s">
        <v>43</v>
      </c>
      <c r="D61" s="123" t="s">
        <v>25</v>
      </c>
      <c r="E61" s="124">
        <f t="shared" si="1"/>
        <v>992.45999999999992</v>
      </c>
      <c r="F61" s="125">
        <v>220</v>
      </c>
      <c r="G61" s="125">
        <f t="shared" si="0"/>
        <v>218341.19999999998</v>
      </c>
      <c r="H61" s="63">
        <f>329.25+12.44</f>
        <v>341.69</v>
      </c>
      <c r="I61" s="60">
        <v>459.65</v>
      </c>
      <c r="J61" s="42">
        <f>47.23+23.1+42.12+6.3+43.35+23.1+1.76+2.08+2.08</f>
        <v>191.12</v>
      </c>
      <c r="K61" s="126"/>
      <c r="L61" s="68"/>
      <c r="M61" s="70"/>
      <c r="N61" s="51"/>
      <c r="O61" s="52"/>
      <c r="P61" s="52"/>
      <c r="Q61" s="52"/>
    </row>
    <row r="62" spans="1:17" ht="234.6" x14ac:dyDescent="0.3">
      <c r="A62" s="1">
        <v>1</v>
      </c>
      <c r="B62" s="2" t="s">
        <v>44</v>
      </c>
      <c r="C62" s="3" t="s">
        <v>45</v>
      </c>
      <c r="D62" s="123" t="s">
        <v>25</v>
      </c>
      <c r="E62" s="124">
        <f t="shared" si="1"/>
        <v>129.4</v>
      </c>
      <c r="F62" s="125">
        <v>130</v>
      </c>
      <c r="G62" s="125">
        <f t="shared" si="0"/>
        <v>16822</v>
      </c>
      <c r="H62" s="63">
        <v>113.25</v>
      </c>
      <c r="I62" s="60">
        <v>16.149999999999999</v>
      </c>
      <c r="J62" s="42"/>
      <c r="K62" s="126"/>
      <c r="L62" s="68"/>
      <c r="M62" s="70"/>
      <c r="N62" s="51"/>
      <c r="O62" s="52"/>
      <c r="P62" s="52"/>
      <c r="Q62" s="52"/>
    </row>
    <row r="63" spans="1:17" ht="193.2" x14ac:dyDescent="0.3">
      <c r="A63" s="1">
        <v>1</v>
      </c>
      <c r="B63" s="2" t="s">
        <v>46</v>
      </c>
      <c r="C63" s="3" t="s">
        <v>47</v>
      </c>
      <c r="D63" s="123" t="s">
        <v>25</v>
      </c>
      <c r="E63" s="124">
        <f t="shared" si="1"/>
        <v>1.57</v>
      </c>
      <c r="F63" s="125">
        <v>1800</v>
      </c>
      <c r="G63" s="125">
        <f t="shared" si="0"/>
        <v>2826</v>
      </c>
      <c r="H63" s="63"/>
      <c r="I63" s="60"/>
      <c r="J63" s="42">
        <f>0.32+0.375+0.375</f>
        <v>1.07</v>
      </c>
      <c r="K63" s="126"/>
      <c r="L63" s="68"/>
      <c r="M63" s="70"/>
      <c r="N63" s="51">
        <v>0.5</v>
      </c>
      <c r="O63" s="52"/>
      <c r="P63" s="52"/>
      <c r="Q63" s="52"/>
    </row>
    <row r="64" spans="1:17" ht="124.2" x14ac:dyDescent="0.3">
      <c r="A64" s="1">
        <v>1</v>
      </c>
      <c r="B64" s="2" t="s">
        <v>48</v>
      </c>
      <c r="C64" s="3" t="s">
        <v>49</v>
      </c>
      <c r="D64" s="123" t="s">
        <v>37</v>
      </c>
      <c r="E64" s="124">
        <f t="shared" si="1"/>
        <v>1.7999999999999998</v>
      </c>
      <c r="F64" s="125">
        <v>2800</v>
      </c>
      <c r="G64" s="125">
        <f t="shared" si="0"/>
        <v>5039.9999999999991</v>
      </c>
      <c r="H64" s="63"/>
      <c r="I64" s="60"/>
      <c r="J64" s="42">
        <f>0.61+0.61+0.58</f>
        <v>1.7999999999999998</v>
      </c>
      <c r="K64" s="126"/>
      <c r="L64" s="68"/>
      <c r="M64" s="70"/>
      <c r="N64" s="51"/>
      <c r="O64" s="52"/>
      <c r="P64" s="52"/>
      <c r="Q64" s="52"/>
    </row>
    <row r="65" spans="1:17" ht="124.2" x14ac:dyDescent="0.3">
      <c r="A65" s="1">
        <v>1</v>
      </c>
      <c r="B65" s="2" t="s">
        <v>50</v>
      </c>
      <c r="C65" s="3" t="s">
        <v>311</v>
      </c>
      <c r="D65" s="123" t="s">
        <v>25</v>
      </c>
      <c r="E65" s="124">
        <f t="shared" si="1"/>
        <v>3.4333333333333331</v>
      </c>
      <c r="F65" s="125">
        <v>1200</v>
      </c>
      <c r="G65" s="125">
        <f t="shared" si="0"/>
        <v>4120</v>
      </c>
      <c r="H65" s="63"/>
      <c r="I65" s="60"/>
      <c r="J65" s="42"/>
      <c r="K65" s="126"/>
      <c r="L65" s="68"/>
      <c r="M65" s="70"/>
      <c r="N65" s="51">
        <f>(0.02+0.012+0.01+0.013+0.012+0.01+0.026)/0.03</f>
        <v>3.4333333333333331</v>
      </c>
      <c r="O65" s="52"/>
      <c r="P65" s="52"/>
      <c r="Q65" s="52"/>
    </row>
    <row r="66" spans="1:17" ht="138" x14ac:dyDescent="0.3">
      <c r="A66" s="1">
        <v>1</v>
      </c>
      <c r="B66" s="2" t="s">
        <v>51</v>
      </c>
      <c r="C66" s="3" t="s">
        <v>52</v>
      </c>
      <c r="D66" s="123" t="s">
        <v>25</v>
      </c>
      <c r="E66" s="124">
        <f t="shared" si="1"/>
        <v>92.04</v>
      </c>
      <c r="F66" s="125">
        <v>80</v>
      </c>
      <c r="G66" s="125">
        <f t="shared" si="0"/>
        <v>7363.2000000000007</v>
      </c>
      <c r="H66" s="63"/>
      <c r="I66" s="60"/>
      <c r="J66" s="42">
        <v>92.04</v>
      </c>
      <c r="K66" s="126"/>
      <c r="L66" s="68"/>
      <c r="M66" s="70"/>
      <c r="N66" s="51"/>
      <c r="O66" s="52"/>
      <c r="P66" s="52"/>
      <c r="Q66" s="52"/>
    </row>
    <row r="67" spans="1:17" ht="151.80000000000001" x14ac:dyDescent="0.3">
      <c r="A67" s="1">
        <v>1</v>
      </c>
      <c r="B67" s="2" t="s">
        <v>53</v>
      </c>
      <c r="C67" s="3" t="s">
        <v>54</v>
      </c>
      <c r="D67" s="123" t="s">
        <v>25</v>
      </c>
      <c r="E67" s="124">
        <f t="shared" si="1"/>
        <v>2.88</v>
      </c>
      <c r="F67" s="125">
        <v>3000</v>
      </c>
      <c r="G67" s="125">
        <f t="shared" si="0"/>
        <v>8640</v>
      </c>
      <c r="H67" s="63"/>
      <c r="I67" s="60"/>
      <c r="J67" s="42"/>
      <c r="K67" s="126"/>
      <c r="L67" s="68"/>
      <c r="M67" s="70"/>
      <c r="N67" s="51">
        <v>2.88</v>
      </c>
      <c r="O67" s="52"/>
      <c r="P67" s="52"/>
      <c r="Q67" s="52"/>
    </row>
    <row r="68" spans="1:17" ht="193.2" x14ac:dyDescent="0.3">
      <c r="A68" s="1">
        <v>1</v>
      </c>
      <c r="B68" s="2" t="s">
        <v>55</v>
      </c>
      <c r="C68" s="3" t="s">
        <v>56</v>
      </c>
      <c r="D68" s="123" t="s">
        <v>29</v>
      </c>
      <c r="E68" s="124">
        <f t="shared" si="1"/>
        <v>2</v>
      </c>
      <c r="F68" s="44">
        <f>27000+3000</f>
        <v>30000</v>
      </c>
      <c r="G68" s="125">
        <f t="shared" si="0"/>
        <v>60000</v>
      </c>
      <c r="H68" s="63"/>
      <c r="I68" s="60"/>
      <c r="J68" s="42"/>
      <c r="K68" s="126"/>
      <c r="L68" s="68"/>
      <c r="M68" s="70"/>
      <c r="N68" s="51">
        <v>2</v>
      </c>
      <c r="O68" s="52"/>
      <c r="P68" s="52"/>
      <c r="Q68" s="52"/>
    </row>
    <row r="69" spans="1:17" ht="165.6" x14ac:dyDescent="0.3">
      <c r="A69" s="1">
        <v>1</v>
      </c>
      <c r="B69" s="2" t="s">
        <v>57</v>
      </c>
      <c r="C69" s="45" t="s">
        <v>446</v>
      </c>
      <c r="D69" s="123" t="s">
        <v>25</v>
      </c>
      <c r="E69" s="124">
        <f t="shared" si="1"/>
        <v>2858.4</v>
      </c>
      <c r="F69" s="125">
        <v>30</v>
      </c>
      <c r="G69" s="125">
        <f>$E69*$F69</f>
        <v>85752</v>
      </c>
      <c r="H69" s="63">
        <v>1815</v>
      </c>
      <c r="I69" s="60">
        <v>1043.4000000000001</v>
      </c>
      <c r="J69" s="42"/>
      <c r="K69" s="126"/>
      <c r="L69" s="68"/>
      <c r="M69" s="70"/>
      <c r="N69" s="51"/>
      <c r="O69" s="52"/>
      <c r="P69" s="52"/>
      <c r="Q69" s="52"/>
    </row>
    <row r="70" spans="1:17" ht="69" x14ac:dyDescent="0.3">
      <c r="A70" s="1">
        <v>1</v>
      </c>
      <c r="B70" s="2" t="s">
        <v>58</v>
      </c>
      <c r="C70" s="3" t="s">
        <v>59</v>
      </c>
      <c r="D70" s="123" t="s">
        <v>37</v>
      </c>
      <c r="E70" s="124">
        <f>SUM(H70:N70)*1.15</f>
        <v>70.543989999999994</v>
      </c>
      <c r="F70" s="125">
        <v>500</v>
      </c>
      <c r="G70" s="125">
        <f>$E70*$F70</f>
        <v>35271.994999999995</v>
      </c>
      <c r="H70" s="63">
        <f>H61*0.05+H62*0.05</f>
        <v>22.747000000000003</v>
      </c>
      <c r="I70" s="60">
        <f>I61*0.05+I62*0.05</f>
        <v>23.790000000000003</v>
      </c>
      <c r="J70" s="42">
        <f>J58+J60+J61*0.05+J63*0.18+J64</f>
        <v>12.950600000000001</v>
      </c>
      <c r="K70" s="126"/>
      <c r="L70" s="68"/>
      <c r="M70" s="70"/>
      <c r="N70" s="51">
        <f>N59+N63*0.18+N65*0.03+N67*0.4</f>
        <v>1.855</v>
      </c>
      <c r="O70" s="52"/>
      <c r="P70" s="52"/>
      <c r="Q70" s="52"/>
    </row>
    <row r="71" spans="1:17" ht="96.6" x14ac:dyDescent="0.3">
      <c r="A71" s="1">
        <v>1</v>
      </c>
      <c r="B71" s="2" t="s">
        <v>60</v>
      </c>
      <c r="C71" s="3" t="s">
        <v>61</v>
      </c>
      <c r="D71" s="123" t="s">
        <v>37</v>
      </c>
      <c r="E71" s="124">
        <f>SUM(H71:N71)*1.15</f>
        <v>70.543989999999994</v>
      </c>
      <c r="F71" s="125">
        <v>300</v>
      </c>
      <c r="G71" s="125">
        <f>$E71*$F71</f>
        <v>21163.196999999996</v>
      </c>
      <c r="H71" s="63">
        <f>H61*0.05+H62*0.05</f>
        <v>22.747000000000003</v>
      </c>
      <c r="I71" s="60">
        <f>I61*0.05+I62*0.05</f>
        <v>23.790000000000003</v>
      </c>
      <c r="J71" s="42">
        <f>J58+J60+J61*0.05+J63*0.18+J64</f>
        <v>12.950600000000001</v>
      </c>
      <c r="K71" s="126"/>
      <c r="L71" s="68"/>
      <c r="M71" s="70"/>
      <c r="N71" s="51">
        <f>N59+N63*0.18+N65*0.03+N67*0.4</f>
        <v>1.855</v>
      </c>
      <c r="O71" s="52"/>
      <c r="P71" s="52"/>
      <c r="Q71" s="52"/>
    </row>
    <row r="72" spans="1:17" ht="138" customHeight="1" x14ac:dyDescent="0.3">
      <c r="A72" s="22">
        <v>1</v>
      </c>
      <c r="B72" s="2" t="s">
        <v>77</v>
      </c>
      <c r="C72" s="24" t="s">
        <v>9</v>
      </c>
      <c r="D72" s="130" t="s">
        <v>10</v>
      </c>
      <c r="E72" s="124">
        <f>SUM(H72:N72)</f>
        <v>1</v>
      </c>
      <c r="F72" s="128">
        <v>1000</v>
      </c>
      <c r="G72" s="128">
        <f t="shared" ref="G72:G74" si="2">$E72*$F72</f>
        <v>1000</v>
      </c>
      <c r="H72"/>
      <c r="I72"/>
      <c r="J72"/>
      <c r="M72" s="73">
        <v>1</v>
      </c>
    </row>
    <row r="73" spans="1:17" ht="179.4" x14ac:dyDescent="0.3">
      <c r="A73" s="1">
        <v>1</v>
      </c>
      <c r="B73" s="2" t="s">
        <v>78</v>
      </c>
      <c r="C73" s="7" t="s">
        <v>12</v>
      </c>
      <c r="D73" s="123" t="s">
        <v>10</v>
      </c>
      <c r="E73" s="124">
        <f>SUM(H73:N73)</f>
        <v>1</v>
      </c>
      <c r="F73" s="125">
        <v>1000</v>
      </c>
      <c r="G73" s="125">
        <f t="shared" si="2"/>
        <v>1000</v>
      </c>
      <c r="H73"/>
      <c r="I73"/>
      <c r="J73"/>
      <c r="M73" s="73">
        <v>1</v>
      </c>
    </row>
    <row r="74" spans="1:17" ht="151.80000000000001" x14ac:dyDescent="0.3">
      <c r="A74" s="34">
        <v>1</v>
      </c>
      <c r="B74" s="2" t="s">
        <v>79</v>
      </c>
      <c r="C74" s="36" t="s">
        <v>14</v>
      </c>
      <c r="D74" s="129" t="s">
        <v>10</v>
      </c>
      <c r="E74" s="124">
        <f>SUM(H74:N74)</f>
        <v>1</v>
      </c>
      <c r="F74" s="127">
        <v>1500</v>
      </c>
      <c r="G74" s="127">
        <f t="shared" si="2"/>
        <v>1500</v>
      </c>
      <c r="H74"/>
      <c r="I74"/>
      <c r="J74"/>
      <c r="M74" s="73">
        <v>1</v>
      </c>
    </row>
    <row r="75" spans="1:17" x14ac:dyDescent="0.3">
      <c r="A75" s="28" t="s">
        <v>15</v>
      </c>
      <c r="B75" s="29"/>
      <c r="C75" s="46" t="s">
        <v>16</v>
      </c>
      <c r="D75" s="31"/>
      <c r="E75" s="32"/>
      <c r="F75" s="33"/>
      <c r="G75" s="33"/>
      <c r="H75" s="63"/>
      <c r="I75" s="60"/>
      <c r="J75" s="42"/>
      <c r="K75" s="126"/>
      <c r="L75" s="68"/>
      <c r="M75" s="70"/>
      <c r="N75" s="51"/>
      <c r="O75" s="52"/>
      <c r="P75" s="52"/>
      <c r="Q75" s="52"/>
    </row>
    <row r="76" spans="1:17" ht="138" x14ac:dyDescent="0.3">
      <c r="A76" s="1">
        <v>2</v>
      </c>
      <c r="B76" s="2" t="s">
        <v>8</v>
      </c>
      <c r="C76" s="45" t="s">
        <v>312</v>
      </c>
      <c r="D76" s="123" t="s">
        <v>37</v>
      </c>
      <c r="E76" s="124">
        <f>SUM(H76:N76)</f>
        <v>0.57000000000000006</v>
      </c>
      <c r="F76" s="125">
        <v>200</v>
      </c>
      <c r="G76" s="125">
        <f>$E76*$F76</f>
        <v>114.00000000000001</v>
      </c>
      <c r="H76" s="63"/>
      <c r="I76" s="60"/>
      <c r="J76" s="42"/>
      <c r="K76" s="126"/>
      <c r="L76" s="68"/>
      <c r="M76" s="70"/>
      <c r="N76" s="51">
        <f>0.38*1.5</f>
        <v>0.57000000000000006</v>
      </c>
      <c r="O76" s="52"/>
      <c r="P76" s="52"/>
      <c r="Q76" s="52"/>
    </row>
    <row r="77" spans="1:17" ht="110.4" x14ac:dyDescent="0.3">
      <c r="A77" s="1">
        <v>2</v>
      </c>
      <c r="B77" s="2" t="s">
        <v>11</v>
      </c>
      <c r="C77" s="45" t="s">
        <v>62</v>
      </c>
      <c r="D77" s="123" t="s">
        <v>25</v>
      </c>
      <c r="E77" s="124">
        <f>SUM(H77:N77)</f>
        <v>6.5</v>
      </c>
      <c r="F77" s="125">
        <v>280</v>
      </c>
      <c r="G77" s="125">
        <f>$E77*$F77</f>
        <v>1820</v>
      </c>
      <c r="H77" s="63"/>
      <c r="I77" s="60"/>
      <c r="J77" s="42"/>
      <c r="K77" s="126"/>
      <c r="L77" s="68"/>
      <c r="M77" s="70"/>
      <c r="N77" s="51">
        <v>6.5</v>
      </c>
      <c r="O77" s="52"/>
      <c r="P77" s="52"/>
      <c r="Q77" s="52"/>
    </row>
    <row r="78" spans="1:17" ht="236.25" customHeight="1" x14ac:dyDescent="0.3">
      <c r="A78" s="1">
        <v>2</v>
      </c>
      <c r="B78" s="2" t="s">
        <v>13</v>
      </c>
      <c r="C78" s="3" t="s">
        <v>17</v>
      </c>
      <c r="D78" s="123" t="s">
        <v>18</v>
      </c>
      <c r="E78" s="124">
        <f>SUM(H78:N78)</f>
        <v>2</v>
      </c>
      <c r="F78" s="125">
        <v>500</v>
      </c>
      <c r="G78" s="125">
        <f t="shared" ref="G78" si="3">$E78*$F78</f>
        <v>1000</v>
      </c>
      <c r="H78"/>
      <c r="I78"/>
      <c r="J78"/>
      <c r="K78" s="99"/>
      <c r="L78" s="66"/>
      <c r="M78" s="73">
        <v>2</v>
      </c>
    </row>
    <row r="79" spans="1:17" x14ac:dyDescent="0.3">
      <c r="A79" s="28" t="s">
        <v>63</v>
      </c>
      <c r="B79" s="29"/>
      <c r="C79" s="46" t="s">
        <v>64</v>
      </c>
      <c r="D79" s="31"/>
      <c r="E79" s="32"/>
      <c r="F79" s="33"/>
      <c r="G79" s="33"/>
      <c r="H79" s="63"/>
      <c r="I79" s="60"/>
      <c r="J79" s="42"/>
      <c r="K79" s="126"/>
      <c r="L79" s="68"/>
      <c r="M79" s="70"/>
      <c r="N79" s="51"/>
      <c r="O79" s="52"/>
      <c r="P79" s="52"/>
      <c r="Q79" s="52"/>
    </row>
    <row r="80" spans="1:17" ht="193.2" x14ac:dyDescent="0.3">
      <c r="A80" s="1">
        <v>3</v>
      </c>
      <c r="B80" s="2" t="s">
        <v>8</v>
      </c>
      <c r="C80" s="45" t="s">
        <v>438</v>
      </c>
      <c r="D80" s="123" t="s">
        <v>25</v>
      </c>
      <c r="E80" s="124">
        <f t="shared" ref="E80:E105" si="4">SUM(H80:N80)</f>
        <v>199.53</v>
      </c>
      <c r="F80" s="125">
        <v>150</v>
      </c>
      <c r="G80" s="125">
        <f t="shared" ref="G80:G93" si="5">$E80*$F80</f>
        <v>29929.5</v>
      </c>
      <c r="H80" s="63"/>
      <c r="I80" s="60"/>
      <c r="J80" s="42">
        <f>92.04+92.04+15.45</f>
        <v>199.53</v>
      </c>
      <c r="K80" s="126"/>
      <c r="L80" s="68"/>
      <c r="M80" s="70"/>
      <c r="N80" s="51"/>
      <c r="O80" s="52">
        <f>170/J80</f>
        <v>0.85200220518217806</v>
      </c>
      <c r="P80" s="52">
        <v>75.5</v>
      </c>
      <c r="Q80" s="52">
        <v>250</v>
      </c>
    </row>
    <row r="81" spans="1:17" ht="234.6" x14ac:dyDescent="0.3">
      <c r="A81" s="1">
        <v>3</v>
      </c>
      <c r="B81" s="2" t="s">
        <v>11</v>
      </c>
      <c r="C81" s="45" t="s">
        <v>65</v>
      </c>
      <c r="D81" s="123" t="s">
        <v>29</v>
      </c>
      <c r="E81" s="124">
        <f t="shared" si="4"/>
        <v>12</v>
      </c>
      <c r="F81" s="125">
        <f>O81+P81</f>
        <v>95</v>
      </c>
      <c r="G81" s="125">
        <f t="shared" si="5"/>
        <v>1140</v>
      </c>
      <c r="H81" s="63">
        <v>6</v>
      </c>
      <c r="I81" s="60">
        <v>6</v>
      </c>
      <c r="J81" s="42"/>
      <c r="K81" s="126"/>
      <c r="L81" s="68"/>
      <c r="M81" s="70"/>
      <c r="N81" s="51"/>
      <c r="O81" s="52">
        <v>15</v>
      </c>
      <c r="P81" s="52">
        <v>80</v>
      </c>
      <c r="Q81" s="52">
        <v>120</v>
      </c>
    </row>
    <row r="82" spans="1:17" ht="220.8" x14ac:dyDescent="0.3">
      <c r="A82" s="1">
        <v>3</v>
      </c>
      <c r="B82" s="2" t="s">
        <v>13</v>
      </c>
      <c r="C82" s="3" t="s">
        <v>66</v>
      </c>
      <c r="D82" s="123" t="s">
        <v>25</v>
      </c>
      <c r="E82" s="124">
        <f t="shared" si="4"/>
        <v>163.04000000000002</v>
      </c>
      <c r="F82" s="125">
        <v>90</v>
      </c>
      <c r="G82" s="125">
        <f t="shared" si="5"/>
        <v>14673.600000000002</v>
      </c>
      <c r="H82" s="63">
        <f>3+12.44</f>
        <v>15.44</v>
      </c>
      <c r="I82" s="60"/>
      <c r="J82" s="42">
        <f>48.4+52.28+46.92</f>
        <v>147.60000000000002</v>
      </c>
      <c r="K82" s="126"/>
      <c r="L82" s="68"/>
      <c r="M82" s="70"/>
      <c r="N82" s="51"/>
      <c r="O82" s="52"/>
      <c r="P82" s="52">
        <v>70</v>
      </c>
      <c r="Q82" s="52">
        <v>180</v>
      </c>
    </row>
    <row r="83" spans="1:17" ht="234.6" x14ac:dyDescent="0.3">
      <c r="A83" s="1">
        <v>3</v>
      </c>
      <c r="B83" s="2" t="s">
        <v>26</v>
      </c>
      <c r="C83" s="3" t="s">
        <v>67</v>
      </c>
      <c r="D83" s="123" t="s">
        <v>25</v>
      </c>
      <c r="E83" s="124">
        <f t="shared" si="4"/>
        <v>52.5</v>
      </c>
      <c r="F83" s="125">
        <v>90</v>
      </c>
      <c r="G83" s="125">
        <f t="shared" si="5"/>
        <v>4725</v>
      </c>
      <c r="H83" s="63"/>
      <c r="I83" s="60"/>
      <c r="J83" s="42">
        <f>23.1+23.1+6.3</f>
        <v>52.5</v>
      </c>
      <c r="K83" s="126"/>
      <c r="L83" s="68"/>
      <c r="M83" s="70"/>
      <c r="N83" s="51"/>
      <c r="O83" s="52"/>
      <c r="P83" s="52">
        <v>70</v>
      </c>
      <c r="Q83" s="52">
        <v>220</v>
      </c>
    </row>
    <row r="84" spans="1:17" ht="317.39999999999998" x14ac:dyDescent="0.3">
      <c r="A84" s="1">
        <v>3</v>
      </c>
      <c r="B84" s="2" t="s">
        <v>28</v>
      </c>
      <c r="C84" s="3" t="s">
        <v>447</v>
      </c>
      <c r="D84" s="123" t="s">
        <v>29</v>
      </c>
      <c r="E84" s="124">
        <f t="shared" si="4"/>
        <v>90</v>
      </c>
      <c r="F84" s="44">
        <v>320</v>
      </c>
      <c r="G84" s="125">
        <f>$E84*$F84</f>
        <v>28800</v>
      </c>
      <c r="H84" s="63"/>
      <c r="I84" s="60"/>
      <c r="J84" s="42">
        <v>90</v>
      </c>
      <c r="K84" s="126"/>
      <c r="L84" s="68"/>
      <c r="M84" s="70"/>
      <c r="N84" s="51"/>
      <c r="O84" s="52"/>
      <c r="P84" s="52"/>
      <c r="Q84" s="52"/>
    </row>
    <row r="85" spans="1:17" ht="345" x14ac:dyDescent="0.3">
      <c r="A85" s="1">
        <v>3</v>
      </c>
      <c r="B85" s="2" t="s">
        <v>30</v>
      </c>
      <c r="C85" s="3" t="s">
        <v>448</v>
      </c>
      <c r="D85" s="123" t="s">
        <v>25</v>
      </c>
      <c r="E85" s="124">
        <f t="shared" si="4"/>
        <v>163.04000000000002</v>
      </c>
      <c r="F85" s="44">
        <v>1600</v>
      </c>
      <c r="G85" s="125">
        <f>$E85*$F85</f>
        <v>260864.00000000003</v>
      </c>
      <c r="H85" s="63">
        <f>3+12.44</f>
        <v>15.44</v>
      </c>
      <c r="I85" s="60"/>
      <c r="J85" s="42">
        <f>48.4+52.28+46.92</f>
        <v>147.60000000000002</v>
      </c>
      <c r="K85" s="126"/>
      <c r="L85" s="68"/>
      <c r="M85" s="70"/>
      <c r="N85" s="51"/>
      <c r="O85" s="52"/>
      <c r="P85" s="52"/>
      <c r="Q85" s="52"/>
    </row>
    <row r="86" spans="1:17" ht="248.4" x14ac:dyDescent="0.3">
      <c r="A86" s="1">
        <v>3</v>
      </c>
      <c r="B86" s="2" t="s">
        <v>31</v>
      </c>
      <c r="C86" s="3" t="s">
        <v>68</v>
      </c>
      <c r="D86" s="123" t="s">
        <v>18</v>
      </c>
      <c r="E86" s="124">
        <f t="shared" si="4"/>
        <v>170</v>
      </c>
      <c r="F86" s="44">
        <v>1200</v>
      </c>
      <c r="G86" s="125">
        <f t="shared" si="5"/>
        <v>204000</v>
      </c>
      <c r="H86" s="63"/>
      <c r="I86" s="60"/>
      <c r="J86" s="42">
        <f>74.8+74.8+20.4</f>
        <v>170</v>
      </c>
      <c r="K86" s="126"/>
      <c r="L86" s="68"/>
      <c r="M86" s="70"/>
      <c r="N86" s="51"/>
      <c r="O86" s="52"/>
      <c r="P86" s="52"/>
      <c r="Q86" s="52"/>
    </row>
    <row r="87" spans="1:17" ht="193.2" x14ac:dyDescent="0.3">
      <c r="A87" s="1">
        <v>3</v>
      </c>
      <c r="B87" s="2" t="s">
        <v>33</v>
      </c>
      <c r="C87" s="3" t="s">
        <v>69</v>
      </c>
      <c r="D87" s="123" t="s">
        <v>29</v>
      </c>
      <c r="E87" s="124">
        <f t="shared" si="4"/>
        <v>594</v>
      </c>
      <c r="F87" s="44">
        <v>15</v>
      </c>
      <c r="G87" s="125">
        <f t="shared" si="5"/>
        <v>8910</v>
      </c>
      <c r="H87" s="63"/>
      <c r="I87" s="60"/>
      <c r="J87" s="42">
        <v>556</v>
      </c>
      <c r="K87" s="126"/>
      <c r="L87" s="68"/>
      <c r="M87" s="70"/>
      <c r="N87" s="51">
        <v>38</v>
      </c>
      <c r="O87" s="52"/>
      <c r="P87" s="52"/>
      <c r="Q87" s="52"/>
    </row>
    <row r="88" spans="1:17" ht="193.2" x14ac:dyDescent="0.3">
      <c r="A88" s="1">
        <v>3</v>
      </c>
      <c r="B88" s="2" t="s">
        <v>35</v>
      </c>
      <c r="C88" s="3" t="s">
        <v>70</v>
      </c>
      <c r="D88" s="123" t="s">
        <v>71</v>
      </c>
      <c r="E88" s="124">
        <f t="shared" si="4"/>
        <v>765.15</v>
      </c>
      <c r="F88" s="125">
        <v>12</v>
      </c>
      <c r="G88" s="125">
        <f t="shared" si="5"/>
        <v>9181.7999999999993</v>
      </c>
      <c r="H88" s="63"/>
      <c r="I88" s="60"/>
      <c r="J88" s="42">
        <v>606.49</v>
      </c>
      <c r="K88" s="126"/>
      <c r="L88" s="68"/>
      <c r="M88" s="70"/>
      <c r="N88" s="51">
        <v>158.66</v>
      </c>
      <c r="O88" s="52">
        <f>5*1.3</f>
        <v>6.5</v>
      </c>
      <c r="P88" s="52">
        <f>14*1.3</f>
        <v>18.2</v>
      </c>
      <c r="Q88" s="52">
        <v>12</v>
      </c>
    </row>
    <row r="89" spans="1:17" ht="165.6" x14ac:dyDescent="0.3">
      <c r="A89" s="1">
        <v>3</v>
      </c>
      <c r="B89" s="2" t="s">
        <v>38</v>
      </c>
      <c r="C89" s="3" t="s">
        <v>72</v>
      </c>
      <c r="D89" s="123" t="s">
        <v>71</v>
      </c>
      <c r="E89" s="124">
        <f t="shared" si="4"/>
        <v>16.09</v>
      </c>
      <c r="F89" s="125">
        <v>12</v>
      </c>
      <c r="G89" s="125">
        <f t="shared" si="5"/>
        <v>193.07999999999998</v>
      </c>
      <c r="H89" s="63"/>
      <c r="I89" s="60"/>
      <c r="J89" s="42"/>
      <c r="K89" s="126"/>
      <c r="L89" s="68"/>
      <c r="M89" s="70"/>
      <c r="N89" s="51">
        <v>16.09</v>
      </c>
      <c r="O89" s="52">
        <f>6*1.3</f>
        <v>7.8000000000000007</v>
      </c>
      <c r="P89" s="52">
        <f>10*1.3</f>
        <v>13</v>
      </c>
      <c r="Q89" s="52">
        <v>12</v>
      </c>
    </row>
    <row r="90" spans="1:17" ht="110.4" x14ac:dyDescent="0.3">
      <c r="A90" s="1">
        <v>3</v>
      </c>
      <c r="B90" s="2" t="s">
        <v>40</v>
      </c>
      <c r="C90" s="3" t="s">
        <v>73</v>
      </c>
      <c r="D90" s="123" t="s">
        <v>25</v>
      </c>
      <c r="E90" s="124">
        <f t="shared" si="4"/>
        <v>29.119999999999997</v>
      </c>
      <c r="F90" s="125">
        <v>250</v>
      </c>
      <c r="G90" s="125">
        <f t="shared" si="5"/>
        <v>7279.9999999999991</v>
      </c>
      <c r="H90" s="63"/>
      <c r="I90" s="60"/>
      <c r="J90" s="42">
        <f>6.72+11.2+11.2</f>
        <v>29.119999999999997</v>
      </c>
      <c r="K90" s="126"/>
      <c r="L90" s="68"/>
      <c r="M90" s="70"/>
      <c r="N90" s="51"/>
      <c r="O90" s="52">
        <f>20*1.3</f>
        <v>26</v>
      </c>
      <c r="P90" s="52">
        <f>130*1.3</f>
        <v>169</v>
      </c>
      <c r="Q90" s="52">
        <v>250</v>
      </c>
    </row>
    <row r="91" spans="1:17" ht="110.4" x14ac:dyDescent="0.3">
      <c r="A91" s="1">
        <v>3</v>
      </c>
      <c r="B91" s="2" t="s">
        <v>42</v>
      </c>
      <c r="C91" s="3" t="s">
        <v>74</v>
      </c>
      <c r="D91" s="123" t="s">
        <v>25</v>
      </c>
      <c r="E91" s="124">
        <f t="shared" si="4"/>
        <v>11.77</v>
      </c>
      <c r="F91" s="125">
        <v>300</v>
      </c>
      <c r="G91" s="125">
        <f t="shared" si="5"/>
        <v>3531</v>
      </c>
      <c r="H91" s="63"/>
      <c r="I91" s="60"/>
      <c r="J91" s="42"/>
      <c r="K91" s="126"/>
      <c r="L91" s="68"/>
      <c r="M91" s="70"/>
      <c r="N91" s="51">
        <f>11.77</f>
        <v>11.77</v>
      </c>
      <c r="O91" s="52">
        <f>20*1.3</f>
        <v>26</v>
      </c>
      <c r="P91" s="52">
        <f>140*1.3</f>
        <v>182</v>
      </c>
      <c r="Q91" s="52">
        <v>300</v>
      </c>
    </row>
    <row r="92" spans="1:17" ht="138" x14ac:dyDescent="0.3">
      <c r="A92" s="1">
        <v>3</v>
      </c>
      <c r="B92" s="2" t="s">
        <v>44</v>
      </c>
      <c r="C92" s="3" t="s">
        <v>75</v>
      </c>
      <c r="D92" s="123" t="s">
        <v>37</v>
      </c>
      <c r="E92" s="124">
        <f t="shared" si="4"/>
        <v>2.9120000000000004</v>
      </c>
      <c r="F92" s="125">
        <v>1450</v>
      </c>
      <c r="G92" s="125">
        <f t="shared" si="5"/>
        <v>4222.4000000000005</v>
      </c>
      <c r="H92" s="63"/>
      <c r="I92" s="60"/>
      <c r="J92" s="42">
        <f>0.672+1.12+1.12</f>
        <v>2.9120000000000004</v>
      </c>
      <c r="K92" s="126"/>
      <c r="L92" s="68"/>
      <c r="M92" s="70"/>
      <c r="N92" s="51"/>
      <c r="O92" s="52">
        <f>570*1.3</f>
        <v>741</v>
      </c>
      <c r="P92" s="52">
        <f>200*1.3</f>
        <v>260</v>
      </c>
      <c r="Q92" s="52">
        <v>1800</v>
      </c>
    </row>
    <row r="93" spans="1:17" ht="151.80000000000001" x14ac:dyDescent="0.3">
      <c r="A93" s="1">
        <v>3</v>
      </c>
      <c r="B93" s="2" t="s">
        <v>46</v>
      </c>
      <c r="C93" s="3" t="s">
        <v>76</v>
      </c>
      <c r="D93" s="123" t="s">
        <v>37</v>
      </c>
      <c r="E93" s="124">
        <f t="shared" si="4"/>
        <v>1.63</v>
      </c>
      <c r="F93" s="125">
        <v>1600</v>
      </c>
      <c r="G93" s="125">
        <f t="shared" si="5"/>
        <v>2608</v>
      </c>
      <c r="H93" s="63"/>
      <c r="I93" s="60"/>
      <c r="J93" s="42"/>
      <c r="K93" s="126"/>
      <c r="L93" s="68"/>
      <c r="M93" s="70"/>
      <c r="N93" s="51">
        <v>1.63</v>
      </c>
      <c r="O93" s="52">
        <f>470*1.3</f>
        <v>611</v>
      </c>
      <c r="P93" s="52">
        <f>200*1.3</f>
        <v>260</v>
      </c>
      <c r="Q93" s="52">
        <v>1900</v>
      </c>
    </row>
    <row r="94" spans="1:17" ht="179.4" x14ac:dyDescent="0.3">
      <c r="A94" s="1">
        <v>3</v>
      </c>
      <c r="B94" s="2" t="s">
        <v>48</v>
      </c>
      <c r="C94" s="45" t="s">
        <v>313</v>
      </c>
      <c r="D94" s="123" t="s">
        <v>29</v>
      </c>
      <c r="E94" s="47">
        <f t="shared" si="4"/>
        <v>7</v>
      </c>
      <c r="F94" s="125">
        <f t="shared" ref="F94:F104" si="6">O94</f>
        <v>22000</v>
      </c>
      <c r="G94" s="125">
        <f>$E94*$F94</f>
        <v>154000</v>
      </c>
      <c r="H94" s="63"/>
      <c r="I94" s="60"/>
      <c r="J94" s="42"/>
      <c r="K94" s="126"/>
      <c r="L94" s="68"/>
      <c r="M94" s="70"/>
      <c r="N94" s="51">
        <v>7</v>
      </c>
      <c r="O94" s="52">
        <f>22000</f>
        <v>22000</v>
      </c>
      <c r="P94" s="52"/>
      <c r="Q94" s="52">
        <v>9000</v>
      </c>
    </row>
    <row r="95" spans="1:17" ht="179.4" x14ac:dyDescent="0.3">
      <c r="A95" s="1">
        <v>3</v>
      </c>
      <c r="B95" s="2" t="s">
        <v>50</v>
      </c>
      <c r="C95" s="45" t="s">
        <v>314</v>
      </c>
      <c r="D95" s="123" t="s">
        <v>29</v>
      </c>
      <c r="E95" s="47">
        <f t="shared" si="4"/>
        <v>2</v>
      </c>
      <c r="F95" s="125">
        <f t="shared" si="6"/>
        <v>14520</v>
      </c>
      <c r="G95" s="125">
        <f t="shared" ref="G95:G105" si="7">$E95*$F95</f>
        <v>29040</v>
      </c>
      <c r="H95" s="63"/>
      <c r="I95" s="60"/>
      <c r="J95" s="42"/>
      <c r="K95" s="126"/>
      <c r="L95" s="68"/>
      <c r="M95" s="70"/>
      <c r="N95" s="51">
        <v>2</v>
      </c>
      <c r="O95" s="52">
        <f>12100*1.2</f>
        <v>14520</v>
      </c>
      <c r="P95" s="52"/>
      <c r="Q95" s="52">
        <v>9000</v>
      </c>
    </row>
    <row r="96" spans="1:17" ht="179.4" x14ac:dyDescent="0.3">
      <c r="A96" s="1">
        <v>3</v>
      </c>
      <c r="B96" s="2" t="s">
        <v>51</v>
      </c>
      <c r="C96" s="45" t="s">
        <v>315</v>
      </c>
      <c r="D96" s="123" t="s">
        <v>29</v>
      </c>
      <c r="E96" s="47">
        <f t="shared" si="4"/>
        <v>1</v>
      </c>
      <c r="F96" s="125">
        <f t="shared" si="6"/>
        <v>12000</v>
      </c>
      <c r="G96" s="125">
        <f t="shared" si="7"/>
        <v>12000</v>
      </c>
      <c r="H96" s="63"/>
      <c r="I96" s="60"/>
      <c r="J96" s="42"/>
      <c r="K96" s="126"/>
      <c r="L96" s="68"/>
      <c r="M96" s="70"/>
      <c r="N96" s="51">
        <v>1</v>
      </c>
      <c r="O96" s="52">
        <f>12000</f>
        <v>12000</v>
      </c>
      <c r="P96" s="52"/>
      <c r="Q96" s="52">
        <v>9000</v>
      </c>
    </row>
    <row r="97" spans="1:17" ht="179.4" x14ac:dyDescent="0.3">
      <c r="A97" s="1">
        <v>3</v>
      </c>
      <c r="B97" s="2" t="s">
        <v>53</v>
      </c>
      <c r="C97" s="45" t="s">
        <v>316</v>
      </c>
      <c r="D97" s="123" t="s">
        <v>29</v>
      </c>
      <c r="E97" s="124">
        <f t="shared" si="4"/>
        <v>1</v>
      </c>
      <c r="F97" s="125">
        <f t="shared" si="6"/>
        <v>10500</v>
      </c>
      <c r="G97" s="125">
        <f t="shared" si="7"/>
        <v>10500</v>
      </c>
      <c r="H97" s="63"/>
      <c r="I97" s="60"/>
      <c r="J97" s="42"/>
      <c r="K97" s="126"/>
      <c r="L97" s="68"/>
      <c r="M97" s="70"/>
      <c r="N97" s="51">
        <v>1</v>
      </c>
      <c r="O97" s="52">
        <f>10500</f>
        <v>10500</v>
      </c>
      <c r="P97" s="52"/>
      <c r="Q97" s="52">
        <v>5000</v>
      </c>
    </row>
    <row r="98" spans="1:17" ht="151.80000000000001" x14ac:dyDescent="0.3">
      <c r="A98" s="1">
        <v>3</v>
      </c>
      <c r="B98" s="2" t="s">
        <v>55</v>
      </c>
      <c r="C98" s="45" t="s">
        <v>317</v>
      </c>
      <c r="D98" s="123" t="s">
        <v>29</v>
      </c>
      <c r="E98" s="124">
        <f t="shared" si="4"/>
        <v>1</v>
      </c>
      <c r="F98" s="125">
        <f t="shared" si="6"/>
        <v>6000</v>
      </c>
      <c r="G98" s="125">
        <f t="shared" si="7"/>
        <v>6000</v>
      </c>
      <c r="H98" s="63"/>
      <c r="I98" s="60"/>
      <c r="J98" s="42"/>
      <c r="K98" s="126"/>
      <c r="L98" s="68"/>
      <c r="M98" s="70"/>
      <c r="N98" s="51">
        <v>1</v>
      </c>
      <c r="O98" s="52">
        <v>6000</v>
      </c>
      <c r="P98" s="52"/>
      <c r="Q98" s="52">
        <v>5000</v>
      </c>
    </row>
    <row r="99" spans="1:17" ht="179.4" x14ac:dyDescent="0.3">
      <c r="A99" s="1">
        <v>3</v>
      </c>
      <c r="B99" s="2" t="s">
        <v>57</v>
      </c>
      <c r="C99" s="45" t="s">
        <v>322</v>
      </c>
      <c r="D99" s="123" t="s">
        <v>29</v>
      </c>
      <c r="E99" s="124">
        <f t="shared" si="4"/>
        <v>3</v>
      </c>
      <c r="F99" s="125">
        <f t="shared" si="6"/>
        <v>10000</v>
      </c>
      <c r="G99" s="125">
        <f t="shared" si="7"/>
        <v>30000</v>
      </c>
      <c r="H99" s="63"/>
      <c r="I99" s="60"/>
      <c r="J99" s="42"/>
      <c r="K99" s="126"/>
      <c r="L99" s="68"/>
      <c r="M99" s="70"/>
      <c r="N99" s="51">
        <v>3</v>
      </c>
      <c r="O99" s="52">
        <v>10000</v>
      </c>
      <c r="P99" s="52"/>
      <c r="Q99" s="52">
        <v>5000</v>
      </c>
    </row>
    <row r="100" spans="1:17" ht="179.4" x14ac:dyDescent="0.3">
      <c r="A100" s="1">
        <v>3</v>
      </c>
      <c r="B100" s="2" t="s">
        <v>58</v>
      </c>
      <c r="C100" s="45" t="s">
        <v>318</v>
      </c>
      <c r="D100" s="123" t="s">
        <v>29</v>
      </c>
      <c r="E100" s="124">
        <f t="shared" si="4"/>
        <v>2</v>
      </c>
      <c r="F100" s="125">
        <f t="shared" si="6"/>
        <v>13000</v>
      </c>
      <c r="G100" s="125">
        <f t="shared" si="7"/>
        <v>26000</v>
      </c>
      <c r="H100" s="63"/>
      <c r="I100" s="60"/>
      <c r="J100" s="42"/>
      <c r="K100" s="126"/>
      <c r="L100" s="68"/>
      <c r="M100" s="70"/>
      <c r="N100" s="51">
        <v>2</v>
      </c>
      <c r="O100" s="52">
        <v>13000</v>
      </c>
      <c r="P100" s="52"/>
      <c r="Q100" s="52">
        <v>5000</v>
      </c>
    </row>
    <row r="101" spans="1:17" ht="179.4" x14ac:dyDescent="0.3">
      <c r="A101" s="1">
        <v>3</v>
      </c>
      <c r="B101" s="2" t="s">
        <v>60</v>
      </c>
      <c r="C101" s="45" t="s">
        <v>319</v>
      </c>
      <c r="D101" s="123" t="s">
        <v>29</v>
      </c>
      <c r="E101" s="124">
        <f t="shared" si="4"/>
        <v>1</v>
      </c>
      <c r="F101" s="125">
        <f t="shared" si="6"/>
        <v>12500</v>
      </c>
      <c r="G101" s="125">
        <f t="shared" si="7"/>
        <v>12500</v>
      </c>
      <c r="H101" s="63"/>
      <c r="I101" s="60"/>
      <c r="J101" s="42"/>
      <c r="K101" s="126"/>
      <c r="L101" s="68"/>
      <c r="M101" s="70"/>
      <c r="N101" s="51">
        <v>1</v>
      </c>
      <c r="O101" s="52">
        <v>12500</v>
      </c>
      <c r="P101" s="52"/>
      <c r="Q101" s="52">
        <v>5000</v>
      </c>
    </row>
    <row r="102" spans="1:17" ht="179.4" x14ac:dyDescent="0.3">
      <c r="A102" s="1">
        <v>3</v>
      </c>
      <c r="B102" s="2" t="s">
        <v>77</v>
      </c>
      <c r="C102" s="45" t="s">
        <v>321</v>
      </c>
      <c r="D102" s="123" t="s">
        <v>29</v>
      </c>
      <c r="E102" s="124">
        <f t="shared" si="4"/>
        <v>1</v>
      </c>
      <c r="F102" s="125">
        <f t="shared" si="6"/>
        <v>9000</v>
      </c>
      <c r="G102" s="125">
        <f t="shared" si="7"/>
        <v>9000</v>
      </c>
      <c r="H102" s="63"/>
      <c r="I102" s="60"/>
      <c r="J102" s="42"/>
      <c r="K102" s="126"/>
      <c r="L102" s="68"/>
      <c r="M102" s="70"/>
      <c r="N102" s="51">
        <v>1</v>
      </c>
      <c r="O102" s="52">
        <v>9000</v>
      </c>
      <c r="P102" s="52"/>
      <c r="Q102" s="52">
        <v>5000</v>
      </c>
    </row>
    <row r="103" spans="1:17" ht="179.4" x14ac:dyDescent="0.3">
      <c r="A103" s="1">
        <v>3</v>
      </c>
      <c r="B103" s="2" t="s">
        <v>78</v>
      </c>
      <c r="C103" s="45" t="s">
        <v>320</v>
      </c>
      <c r="D103" s="123" t="s">
        <v>29</v>
      </c>
      <c r="E103" s="124">
        <f t="shared" si="4"/>
        <v>1</v>
      </c>
      <c r="F103" s="125">
        <f t="shared" si="6"/>
        <v>11700</v>
      </c>
      <c r="G103" s="125">
        <f t="shared" si="7"/>
        <v>11700</v>
      </c>
      <c r="H103" s="63"/>
      <c r="I103" s="60"/>
      <c r="J103" s="42"/>
      <c r="K103" s="126"/>
      <c r="L103" s="68"/>
      <c r="M103" s="70"/>
      <c r="N103" s="51">
        <v>1</v>
      </c>
      <c r="O103" s="52">
        <f>9000*1.3</f>
        <v>11700</v>
      </c>
      <c r="P103" s="52"/>
      <c r="Q103" s="52">
        <v>5000</v>
      </c>
    </row>
    <row r="104" spans="1:17" ht="138" x14ac:dyDescent="0.3">
      <c r="A104" s="1">
        <v>3</v>
      </c>
      <c r="B104" s="2" t="s">
        <v>79</v>
      </c>
      <c r="C104" s="45" t="s">
        <v>80</v>
      </c>
      <c r="D104" s="123" t="s">
        <v>29</v>
      </c>
      <c r="E104" s="124">
        <f t="shared" si="4"/>
        <v>1</v>
      </c>
      <c r="F104" s="125">
        <f t="shared" si="6"/>
        <v>3960</v>
      </c>
      <c r="G104" s="125">
        <f t="shared" si="7"/>
        <v>3960</v>
      </c>
      <c r="H104" s="63"/>
      <c r="I104" s="60"/>
      <c r="J104" s="42"/>
      <c r="K104" s="126"/>
      <c r="L104" s="68"/>
      <c r="M104" s="70"/>
      <c r="N104" s="51">
        <v>1</v>
      </c>
      <c r="O104" s="52">
        <f>3300*1.2</f>
        <v>3960</v>
      </c>
      <c r="P104" s="52"/>
      <c r="Q104" s="52">
        <v>5000</v>
      </c>
    </row>
    <row r="105" spans="1:17" ht="124.2" x14ac:dyDescent="0.3">
      <c r="A105" s="1">
        <v>3</v>
      </c>
      <c r="B105" s="2" t="s">
        <v>81</v>
      </c>
      <c r="C105" s="45" t="s">
        <v>82</v>
      </c>
      <c r="D105" s="123" t="s">
        <v>10</v>
      </c>
      <c r="E105" s="124">
        <f t="shared" si="4"/>
        <v>1</v>
      </c>
      <c r="F105" s="44">
        <v>82800</v>
      </c>
      <c r="G105" s="125">
        <f t="shared" si="7"/>
        <v>82800</v>
      </c>
      <c r="H105" s="63">
        <v>1</v>
      </c>
      <c r="I105" s="60"/>
      <c r="J105" s="42"/>
      <c r="K105" s="126"/>
      <c r="L105" s="68"/>
      <c r="M105" s="70"/>
      <c r="N105" s="51"/>
      <c r="O105" s="52">
        <f>15.55*3.55*1500</f>
        <v>82803.75</v>
      </c>
      <c r="P105" s="52"/>
      <c r="Q105" s="52">
        <v>18000</v>
      </c>
    </row>
    <row r="106" spans="1:17" x14ac:dyDescent="0.3">
      <c r="A106" s="28" t="s">
        <v>83</v>
      </c>
      <c r="B106" s="29"/>
      <c r="C106" s="46" t="s">
        <v>84</v>
      </c>
      <c r="D106" s="31"/>
      <c r="E106" s="32"/>
      <c r="F106" s="33"/>
      <c r="G106" s="33"/>
      <c r="H106" s="63"/>
      <c r="I106" s="60"/>
      <c r="J106" s="42"/>
      <c r="K106" s="126"/>
      <c r="L106" s="68"/>
      <c r="M106" s="70"/>
      <c r="N106" s="51"/>
      <c r="O106" s="52"/>
      <c r="P106" s="52"/>
      <c r="Q106" s="52"/>
    </row>
    <row r="107" spans="1:17" ht="151.80000000000001" x14ac:dyDescent="0.3">
      <c r="A107" s="1">
        <v>4</v>
      </c>
      <c r="B107" s="2" t="s">
        <v>8</v>
      </c>
      <c r="C107" s="3" t="s">
        <v>85</v>
      </c>
      <c r="D107" s="123" t="s">
        <v>25</v>
      </c>
      <c r="E107" s="124">
        <f>SUM(H107:N107)</f>
        <v>15</v>
      </c>
      <c r="F107" s="125">
        <v>216</v>
      </c>
      <c r="G107" s="125">
        <f>$E107*$F107</f>
        <v>3240</v>
      </c>
      <c r="H107" s="63"/>
      <c r="I107" s="60"/>
      <c r="J107" s="42">
        <f>5.1+5.1+4.8</f>
        <v>15</v>
      </c>
      <c r="K107" s="126"/>
      <c r="L107" s="68"/>
      <c r="M107" s="70"/>
      <c r="N107" s="51"/>
      <c r="O107" s="52">
        <f>100*1.3+200*1.3+2*1.3+50*1.3</f>
        <v>457.6</v>
      </c>
      <c r="P107" s="52"/>
      <c r="Q107" s="52">
        <v>90</v>
      </c>
    </row>
    <row r="108" spans="1:17" ht="179.4" x14ac:dyDescent="0.3">
      <c r="A108" s="1">
        <v>4</v>
      </c>
      <c r="B108" s="2" t="s">
        <v>11</v>
      </c>
      <c r="C108" s="3" t="s">
        <v>86</v>
      </c>
      <c r="D108" s="123" t="s">
        <v>25</v>
      </c>
      <c r="E108" s="124">
        <f>SUM(H108:N108)</f>
        <v>5</v>
      </c>
      <c r="F108" s="125">
        <v>300</v>
      </c>
      <c r="G108" s="125">
        <f>$E108*$F108</f>
        <v>1500</v>
      </c>
      <c r="H108" s="63"/>
      <c r="I108" s="60"/>
      <c r="J108" s="42"/>
      <c r="K108" s="126"/>
      <c r="L108" s="68"/>
      <c r="M108" s="70"/>
      <c r="N108" s="51">
        <v>5</v>
      </c>
      <c r="O108" s="52"/>
      <c r="P108" s="52">
        <f>120*1.3</f>
        <v>156</v>
      </c>
      <c r="Q108" s="52">
        <v>210</v>
      </c>
    </row>
    <row r="109" spans="1:17" s="52" customFormat="1" ht="248.4" x14ac:dyDescent="0.3">
      <c r="A109" s="8">
        <v>4</v>
      </c>
      <c r="B109" s="9" t="s">
        <v>13</v>
      </c>
      <c r="C109" s="83" t="s">
        <v>138</v>
      </c>
      <c r="D109" s="11" t="s">
        <v>18</v>
      </c>
      <c r="E109" s="124">
        <f>SUM(H109:N109)</f>
        <v>35</v>
      </c>
      <c r="F109" s="14">
        <v>450</v>
      </c>
      <c r="G109" s="14">
        <f t="shared" ref="G109" si="8">$E109*$F109</f>
        <v>15750</v>
      </c>
      <c r="H109" s="81"/>
      <c r="I109" s="40"/>
      <c r="J109" s="41"/>
      <c r="K109" s="126"/>
      <c r="L109" s="43"/>
      <c r="N109" s="53">
        <v>35</v>
      </c>
      <c r="O109" s="52">
        <v>200</v>
      </c>
    </row>
    <row r="110" spans="1:17" x14ac:dyDescent="0.3">
      <c r="A110" s="28" t="s">
        <v>87</v>
      </c>
      <c r="B110" s="29"/>
      <c r="C110" s="46" t="s">
        <v>88</v>
      </c>
      <c r="D110" s="31"/>
      <c r="E110" s="32"/>
      <c r="F110" s="33"/>
      <c r="G110" s="33"/>
      <c r="H110" s="63"/>
      <c r="I110" s="60"/>
      <c r="J110" s="42"/>
      <c r="K110" s="126"/>
      <c r="L110" s="68"/>
      <c r="M110" s="70"/>
      <c r="N110" s="51"/>
      <c r="O110" s="52"/>
      <c r="P110" s="52"/>
      <c r="Q110" s="52"/>
    </row>
    <row r="111" spans="1:17" ht="207" x14ac:dyDescent="0.3">
      <c r="A111" s="1">
        <v>5</v>
      </c>
      <c r="B111" s="2" t="s">
        <v>8</v>
      </c>
      <c r="C111" s="3" t="s">
        <v>89</v>
      </c>
      <c r="D111" s="123" t="s">
        <v>25</v>
      </c>
      <c r="E111" s="124">
        <f t="shared" ref="E111:E116" si="9">SUM(H111:N111)</f>
        <v>71.05</v>
      </c>
      <c r="F111" s="125">
        <v>210</v>
      </c>
      <c r="G111" s="125">
        <f>$E111*$F111</f>
        <v>14920.5</v>
      </c>
      <c r="H111" s="63">
        <v>16.399999999999999</v>
      </c>
      <c r="I111" s="60">
        <v>54.65</v>
      </c>
      <c r="J111" s="42"/>
      <c r="K111" s="126"/>
      <c r="L111" s="68"/>
      <c r="M111" s="70"/>
      <c r="N111" s="51"/>
      <c r="O111" s="52"/>
      <c r="P111" s="52">
        <f>120*1.3</f>
        <v>156</v>
      </c>
      <c r="Q111" s="52">
        <v>210</v>
      </c>
    </row>
    <row r="112" spans="1:17" ht="207" x14ac:dyDescent="0.3">
      <c r="A112" s="1">
        <v>5</v>
      </c>
      <c r="B112" s="2" t="s">
        <v>11</v>
      </c>
      <c r="C112" s="3" t="s">
        <v>440</v>
      </c>
      <c r="D112" s="123" t="s">
        <v>25</v>
      </c>
      <c r="E112" s="124">
        <f t="shared" si="9"/>
        <v>1057.77</v>
      </c>
      <c r="F112" s="125">
        <f>P112</f>
        <v>168</v>
      </c>
      <c r="G112" s="125">
        <f>$E112*$F112</f>
        <v>177705.36</v>
      </c>
      <c r="H112" s="63">
        <f>329.25+12.44</f>
        <v>341.69</v>
      </c>
      <c r="I112" s="60">
        <v>459.65</v>
      </c>
      <c r="J112" s="42">
        <f>46.18+50.34+50.05</f>
        <v>146.57</v>
      </c>
      <c r="K112" s="126"/>
      <c r="L112" s="68"/>
      <c r="M112" s="70"/>
      <c r="N112" s="51">
        <f>9.6+9+17.66+11.36+10.36+12.04+12.44+7.64+19.76</f>
        <v>109.86000000000001</v>
      </c>
      <c r="O112" s="52"/>
      <c r="P112" s="52">
        <f>110*1.3+25</f>
        <v>168</v>
      </c>
      <c r="Q112" s="52">
        <v>200</v>
      </c>
    </row>
    <row r="113" spans="1:26" ht="165.6" x14ac:dyDescent="0.3">
      <c r="A113" s="1">
        <v>5</v>
      </c>
      <c r="B113" s="2" t="s">
        <v>13</v>
      </c>
      <c r="C113" s="3" t="s">
        <v>90</v>
      </c>
      <c r="D113" s="123" t="s">
        <v>25</v>
      </c>
      <c r="E113" s="124">
        <f t="shared" si="9"/>
        <v>199.52</v>
      </c>
      <c r="F113" s="125">
        <f>P113</f>
        <v>429</v>
      </c>
      <c r="G113" s="125">
        <f>$E113*$F113</f>
        <v>85594.08</v>
      </c>
      <c r="H113" s="63"/>
      <c r="I113" s="60"/>
      <c r="J113" s="42">
        <f>92.04+92.04+15.44</f>
        <v>199.52</v>
      </c>
      <c r="K113" s="126"/>
      <c r="L113" s="68"/>
      <c r="M113" s="70"/>
      <c r="N113" s="51"/>
      <c r="O113" s="52"/>
      <c r="P113" s="52">
        <f>330*1.3</f>
        <v>429</v>
      </c>
      <c r="Q113" s="52">
        <v>380</v>
      </c>
    </row>
    <row r="114" spans="1:26" ht="165.6" x14ac:dyDescent="0.3">
      <c r="A114" s="1">
        <v>5</v>
      </c>
      <c r="B114" s="2" t="s">
        <v>26</v>
      </c>
      <c r="C114" s="3" t="s">
        <v>91</v>
      </c>
      <c r="D114" s="123" t="s">
        <v>25</v>
      </c>
      <c r="E114" s="124">
        <f t="shared" si="9"/>
        <v>53.389999999999993</v>
      </c>
      <c r="F114" s="125">
        <f>O114</f>
        <v>221</v>
      </c>
      <c r="G114" s="125">
        <f>$E114*$F114</f>
        <v>11799.189999999999</v>
      </c>
      <c r="H114" s="63"/>
      <c r="I114" s="60"/>
      <c r="J114" s="42">
        <f>3.04+2.76+2.82</f>
        <v>8.6199999999999992</v>
      </c>
      <c r="K114" s="126"/>
      <c r="L114" s="68"/>
      <c r="M114" s="70"/>
      <c r="N114" s="51">
        <f>4.8+4.5+8.61+5.18+5.68+6.02+9.98</f>
        <v>44.769999999999996</v>
      </c>
      <c r="O114" s="52">
        <f>170*1.3</f>
        <v>221</v>
      </c>
      <c r="P114" s="52"/>
      <c r="Q114" s="52">
        <v>200</v>
      </c>
    </row>
    <row r="115" spans="1:26" ht="124.2" x14ac:dyDescent="0.3">
      <c r="A115" s="1">
        <v>5</v>
      </c>
      <c r="B115" s="2" t="s">
        <v>28</v>
      </c>
      <c r="C115" s="45" t="s">
        <v>92</v>
      </c>
      <c r="D115" s="123" t="s">
        <v>25</v>
      </c>
      <c r="E115" s="124">
        <f t="shared" si="9"/>
        <v>5.31</v>
      </c>
      <c r="F115" s="125">
        <v>630</v>
      </c>
      <c r="G115" s="125">
        <f>E115*F115</f>
        <v>3345.2999999999997</v>
      </c>
      <c r="H115" s="63"/>
      <c r="I115" s="60"/>
      <c r="J115" s="42"/>
      <c r="K115" s="126"/>
      <c r="L115" s="68"/>
      <c r="M115" s="70"/>
      <c r="N115" s="51">
        <v>5.31</v>
      </c>
      <c r="O115" s="52"/>
      <c r="P115" s="52"/>
      <c r="Q115" s="52"/>
    </row>
    <row r="116" spans="1:26" ht="124.2" x14ac:dyDescent="0.3">
      <c r="A116" s="1">
        <v>5</v>
      </c>
      <c r="B116" s="2" t="s">
        <v>30</v>
      </c>
      <c r="C116" s="45" t="s">
        <v>93</v>
      </c>
      <c r="D116" s="123" t="s">
        <v>18</v>
      </c>
      <c r="E116" s="124">
        <f t="shared" si="9"/>
        <v>17.739999999999998</v>
      </c>
      <c r="F116" s="125">
        <v>55</v>
      </c>
      <c r="G116" s="125">
        <f>E116*F116</f>
        <v>975.69999999999993</v>
      </c>
      <c r="H116" s="63"/>
      <c r="I116" s="60"/>
      <c r="J116" s="42"/>
      <c r="K116" s="126"/>
      <c r="L116" s="68"/>
      <c r="M116" s="70"/>
      <c r="N116" s="51">
        <f>2.12+1.22+3.68+2.36+3.56+1.36+3.44</f>
        <v>17.739999999999998</v>
      </c>
      <c r="O116" s="52"/>
      <c r="P116" s="52"/>
      <c r="Q116" s="52"/>
    </row>
    <row r="117" spans="1:26" x14ac:dyDescent="0.3">
      <c r="A117" s="28" t="s">
        <v>94</v>
      </c>
      <c r="B117" s="29"/>
      <c r="C117" s="46" t="s">
        <v>118</v>
      </c>
      <c r="D117" s="31"/>
      <c r="E117" s="32"/>
      <c r="F117" s="33"/>
      <c r="G117" s="33"/>
      <c r="H117" s="63"/>
      <c r="I117" s="60"/>
      <c r="J117" s="42"/>
      <c r="K117" s="126"/>
      <c r="L117" s="68"/>
      <c r="M117" s="70"/>
      <c r="N117" s="51"/>
      <c r="O117" s="52"/>
      <c r="P117" s="52"/>
      <c r="Q117" s="52"/>
    </row>
    <row r="118" spans="1:26" s="52" customFormat="1" ht="96.6" x14ac:dyDescent="0.3">
      <c r="A118" s="1">
        <v>6</v>
      </c>
      <c r="B118" s="2" t="s">
        <v>8</v>
      </c>
      <c r="C118" s="80" t="s">
        <v>119</v>
      </c>
      <c r="D118" s="123" t="s">
        <v>10</v>
      </c>
      <c r="E118" s="124">
        <f>SUM(H118:N118)</f>
        <v>1</v>
      </c>
      <c r="F118" s="125">
        <v>1500</v>
      </c>
      <c r="G118" s="125">
        <f t="shared" ref="G118:G148" si="10">E118*F118</f>
        <v>1500</v>
      </c>
      <c r="H118" s="81"/>
      <c r="I118" s="40"/>
      <c r="J118" s="41"/>
      <c r="K118" s="126"/>
      <c r="L118" s="68">
        <v>1</v>
      </c>
      <c r="N118" s="53"/>
      <c r="Z118" s="14"/>
    </row>
    <row r="119" spans="1:26" s="52" customFormat="1" ht="138" x14ac:dyDescent="0.3">
      <c r="A119" s="1">
        <v>6</v>
      </c>
      <c r="B119" s="2" t="s">
        <v>11</v>
      </c>
      <c r="C119" s="80" t="s">
        <v>120</v>
      </c>
      <c r="D119" s="123" t="s">
        <v>29</v>
      </c>
      <c r="E119" s="124">
        <f t="shared" ref="E119:E135" si="11">SUM(H119:N119)</f>
        <v>3</v>
      </c>
      <c r="F119" s="125">
        <v>350</v>
      </c>
      <c r="G119" s="125">
        <f t="shared" si="10"/>
        <v>1050</v>
      </c>
      <c r="H119" s="81"/>
      <c r="I119" s="40"/>
      <c r="J119" s="41"/>
      <c r="K119" s="126"/>
      <c r="L119" s="68">
        <v>3</v>
      </c>
      <c r="N119" s="53"/>
    </row>
    <row r="120" spans="1:26" s="52" customFormat="1" ht="96.6" x14ac:dyDescent="0.3">
      <c r="A120" s="1">
        <v>6</v>
      </c>
      <c r="B120" s="2" t="s">
        <v>13</v>
      </c>
      <c r="C120" s="80" t="s">
        <v>121</v>
      </c>
      <c r="D120" s="123" t="s">
        <v>10</v>
      </c>
      <c r="E120" s="124">
        <f t="shared" si="11"/>
        <v>1</v>
      </c>
      <c r="F120" s="125">
        <v>1400</v>
      </c>
      <c r="G120" s="125">
        <f t="shared" si="10"/>
        <v>1400</v>
      </c>
      <c r="H120" s="81"/>
      <c r="I120" s="40"/>
      <c r="J120" s="41"/>
      <c r="K120" s="126"/>
      <c r="L120" s="68">
        <v>1</v>
      </c>
      <c r="N120" s="53"/>
    </row>
    <row r="121" spans="1:26" s="52" customFormat="1" ht="96.6" x14ac:dyDescent="0.3">
      <c r="A121" s="1">
        <v>6</v>
      </c>
      <c r="B121" s="2" t="s">
        <v>26</v>
      </c>
      <c r="C121" s="80" t="s">
        <v>122</v>
      </c>
      <c r="D121" s="123" t="s">
        <v>10</v>
      </c>
      <c r="E121" s="124">
        <f t="shared" si="11"/>
        <v>2</v>
      </c>
      <c r="F121" s="125">
        <v>250</v>
      </c>
      <c r="G121" s="125">
        <f t="shared" si="10"/>
        <v>500</v>
      </c>
      <c r="H121" s="81"/>
      <c r="I121" s="40"/>
      <c r="J121" s="41"/>
      <c r="K121" s="126"/>
      <c r="L121" s="68"/>
      <c r="N121" s="53">
        <v>2</v>
      </c>
    </row>
    <row r="122" spans="1:26" s="52" customFormat="1" ht="124.2" x14ac:dyDescent="0.3">
      <c r="A122" s="1">
        <v>6</v>
      </c>
      <c r="B122" s="2" t="s">
        <v>28</v>
      </c>
      <c r="C122" s="80" t="s">
        <v>123</v>
      </c>
      <c r="D122" s="123" t="s">
        <v>29</v>
      </c>
      <c r="E122" s="124">
        <f t="shared" si="11"/>
        <v>2</v>
      </c>
      <c r="F122" s="125">
        <v>750</v>
      </c>
      <c r="G122" s="125">
        <f t="shared" si="10"/>
        <v>1500</v>
      </c>
      <c r="H122" s="81"/>
      <c r="I122" s="40"/>
      <c r="J122" s="41"/>
      <c r="K122" s="126"/>
      <c r="L122" s="68">
        <v>2</v>
      </c>
      <c r="N122" s="53"/>
    </row>
    <row r="123" spans="1:26" s="52" customFormat="1" ht="207" x14ac:dyDescent="0.3">
      <c r="A123" s="1">
        <v>6</v>
      </c>
      <c r="B123" s="2" t="s">
        <v>30</v>
      </c>
      <c r="C123" s="80" t="s">
        <v>124</v>
      </c>
      <c r="D123" s="123" t="s">
        <v>29</v>
      </c>
      <c r="E123" s="124">
        <f t="shared" si="11"/>
        <v>2</v>
      </c>
      <c r="F123" s="125">
        <v>200</v>
      </c>
      <c r="G123" s="125">
        <f t="shared" si="10"/>
        <v>400</v>
      </c>
      <c r="H123" s="81"/>
      <c r="I123" s="40"/>
      <c r="J123" s="41"/>
      <c r="K123" s="126"/>
      <c r="L123" s="68">
        <v>2</v>
      </c>
      <c r="N123" s="53"/>
    </row>
    <row r="124" spans="1:26" s="52" customFormat="1" ht="82.8" x14ac:dyDescent="0.3">
      <c r="A124" s="1">
        <v>6</v>
      </c>
      <c r="B124" s="2" t="s">
        <v>31</v>
      </c>
      <c r="C124" s="80" t="s">
        <v>125</v>
      </c>
      <c r="D124" s="123" t="s">
        <v>29</v>
      </c>
      <c r="E124" s="124">
        <f t="shared" si="11"/>
        <v>2</v>
      </c>
      <c r="F124" s="125">
        <v>150</v>
      </c>
      <c r="G124" s="125">
        <f t="shared" si="10"/>
        <v>300</v>
      </c>
      <c r="H124" s="81"/>
      <c r="I124" s="40"/>
      <c r="J124" s="41"/>
      <c r="K124" s="126"/>
      <c r="L124" s="68">
        <v>2</v>
      </c>
      <c r="N124" s="53"/>
    </row>
    <row r="125" spans="1:26" s="52" customFormat="1" ht="124.2" x14ac:dyDescent="0.3">
      <c r="A125" s="1">
        <v>6</v>
      </c>
      <c r="B125" s="2" t="s">
        <v>33</v>
      </c>
      <c r="C125" s="80" t="s">
        <v>126</v>
      </c>
      <c r="D125" s="123" t="s">
        <v>29</v>
      </c>
      <c r="E125" s="124">
        <f t="shared" si="11"/>
        <v>2</v>
      </c>
      <c r="F125" s="125">
        <v>100</v>
      </c>
      <c r="G125" s="125">
        <f t="shared" si="10"/>
        <v>200</v>
      </c>
      <c r="H125" s="81"/>
      <c r="I125" s="40"/>
      <c r="J125" s="41"/>
      <c r="K125" s="126"/>
      <c r="L125" s="68">
        <v>2</v>
      </c>
      <c r="N125" s="53"/>
    </row>
    <row r="126" spans="1:26" s="52" customFormat="1" ht="82.8" x14ac:dyDescent="0.3">
      <c r="A126" s="1">
        <v>6</v>
      </c>
      <c r="B126" s="2" t="s">
        <v>35</v>
      </c>
      <c r="C126" s="80" t="s">
        <v>127</v>
      </c>
      <c r="D126" s="123" t="s">
        <v>29</v>
      </c>
      <c r="E126" s="124">
        <f t="shared" si="11"/>
        <v>1</v>
      </c>
      <c r="F126" s="125">
        <v>15</v>
      </c>
      <c r="G126" s="125">
        <f t="shared" si="10"/>
        <v>15</v>
      </c>
      <c r="H126" s="81"/>
      <c r="I126" s="40"/>
      <c r="J126" s="41"/>
      <c r="K126" s="126"/>
      <c r="L126" s="68">
        <v>1</v>
      </c>
      <c r="N126" s="53"/>
    </row>
    <row r="127" spans="1:26" s="52" customFormat="1" ht="82.8" x14ac:dyDescent="0.3">
      <c r="A127" s="1">
        <v>6</v>
      </c>
      <c r="B127" s="2" t="s">
        <v>38</v>
      </c>
      <c r="C127" s="80" t="s">
        <v>128</v>
      </c>
      <c r="D127" s="123" t="s">
        <v>18</v>
      </c>
      <c r="E127" s="124">
        <f t="shared" si="11"/>
        <v>1</v>
      </c>
      <c r="F127" s="125">
        <v>50</v>
      </c>
      <c r="G127" s="125">
        <f t="shared" si="10"/>
        <v>50</v>
      </c>
      <c r="H127" s="81"/>
      <c r="I127" s="40"/>
      <c r="J127" s="41"/>
      <c r="K127" s="126"/>
      <c r="L127" s="68">
        <v>1</v>
      </c>
      <c r="N127" s="53"/>
    </row>
    <row r="128" spans="1:26" s="52" customFormat="1" ht="82.8" x14ac:dyDescent="0.3">
      <c r="A128" s="1">
        <v>6</v>
      </c>
      <c r="B128" s="2" t="s">
        <v>40</v>
      </c>
      <c r="C128" s="80" t="s">
        <v>129</v>
      </c>
      <c r="D128" s="123" t="s">
        <v>18</v>
      </c>
      <c r="E128" s="124">
        <f t="shared" si="11"/>
        <v>20</v>
      </c>
      <c r="F128" s="125">
        <v>40</v>
      </c>
      <c r="G128" s="125">
        <f t="shared" si="10"/>
        <v>800</v>
      </c>
      <c r="H128" s="81"/>
      <c r="I128" s="40"/>
      <c r="J128" s="41"/>
      <c r="K128" s="126"/>
      <c r="L128" s="68">
        <v>20</v>
      </c>
      <c r="N128" s="53"/>
    </row>
    <row r="129" spans="1:28" s="52" customFormat="1" ht="82.8" x14ac:dyDescent="0.3">
      <c r="A129" s="1">
        <v>6</v>
      </c>
      <c r="B129" s="2" t="s">
        <v>42</v>
      </c>
      <c r="C129" s="80" t="s">
        <v>130</v>
      </c>
      <c r="D129" s="123" t="s">
        <v>10</v>
      </c>
      <c r="E129" s="124">
        <f t="shared" si="11"/>
        <v>1</v>
      </c>
      <c r="F129" s="125">
        <v>1500</v>
      </c>
      <c r="G129" s="125">
        <f t="shared" si="10"/>
        <v>1500</v>
      </c>
      <c r="H129" s="81"/>
      <c r="I129" s="40"/>
      <c r="J129" s="41"/>
      <c r="K129" s="126"/>
      <c r="L129" s="68">
        <v>1</v>
      </c>
      <c r="N129" s="53"/>
    </row>
    <row r="130" spans="1:28" s="52" customFormat="1" ht="96.6" x14ac:dyDescent="0.3">
      <c r="A130" s="1">
        <v>6</v>
      </c>
      <c r="B130" s="2" t="s">
        <v>44</v>
      </c>
      <c r="C130" s="80" t="s">
        <v>131</v>
      </c>
      <c r="D130" s="123" t="s">
        <v>18</v>
      </c>
      <c r="E130" s="124">
        <f t="shared" si="11"/>
        <v>2</v>
      </c>
      <c r="F130" s="125">
        <v>30</v>
      </c>
      <c r="G130" s="125">
        <f t="shared" si="10"/>
        <v>60</v>
      </c>
      <c r="H130" s="81"/>
      <c r="I130" s="40"/>
      <c r="J130" s="41"/>
      <c r="K130" s="126"/>
      <c r="L130" s="68">
        <v>2</v>
      </c>
      <c r="N130" s="53"/>
    </row>
    <row r="131" spans="1:28" s="52" customFormat="1" ht="82.8" x14ac:dyDescent="0.3">
      <c r="A131" s="1">
        <v>6</v>
      </c>
      <c r="B131" s="2" t="s">
        <v>46</v>
      </c>
      <c r="C131" s="80" t="s">
        <v>132</v>
      </c>
      <c r="D131" s="123" t="s">
        <v>10</v>
      </c>
      <c r="E131" s="124">
        <f t="shared" si="11"/>
        <v>1</v>
      </c>
      <c r="F131" s="125">
        <v>425</v>
      </c>
      <c r="G131" s="125">
        <f t="shared" si="10"/>
        <v>425</v>
      </c>
      <c r="H131" s="81"/>
      <c r="I131" s="40"/>
      <c r="J131" s="41"/>
      <c r="K131" s="126"/>
      <c r="L131" s="68">
        <v>1</v>
      </c>
      <c r="N131" s="53"/>
    </row>
    <row r="132" spans="1:28" s="52" customFormat="1" ht="82.8" x14ac:dyDescent="0.3">
      <c r="A132" s="1">
        <v>6</v>
      </c>
      <c r="B132" s="2" t="s">
        <v>48</v>
      </c>
      <c r="C132" s="80" t="s">
        <v>133</v>
      </c>
      <c r="D132" s="123" t="s">
        <v>10</v>
      </c>
      <c r="E132" s="124">
        <f t="shared" si="11"/>
        <v>1</v>
      </c>
      <c r="F132" s="125">
        <v>200</v>
      </c>
      <c r="G132" s="125">
        <f t="shared" si="10"/>
        <v>200</v>
      </c>
      <c r="H132" s="81"/>
      <c r="I132" s="40"/>
      <c r="J132" s="41"/>
      <c r="K132" s="126"/>
      <c r="L132" s="68">
        <v>1</v>
      </c>
      <c r="N132" s="53"/>
    </row>
    <row r="133" spans="1:28" s="52" customFormat="1" ht="110.4" x14ac:dyDescent="0.3">
      <c r="A133" s="1">
        <v>6</v>
      </c>
      <c r="B133" s="2" t="s">
        <v>50</v>
      </c>
      <c r="C133" s="80" t="s">
        <v>134</v>
      </c>
      <c r="D133" s="123" t="s">
        <v>10</v>
      </c>
      <c r="E133" s="124">
        <f t="shared" si="11"/>
        <v>3</v>
      </c>
      <c r="F133" s="125">
        <v>400</v>
      </c>
      <c r="G133" s="125">
        <f t="shared" si="10"/>
        <v>1200</v>
      </c>
      <c r="H133" s="81"/>
      <c r="I133" s="40"/>
      <c r="J133" s="41"/>
      <c r="K133" s="126"/>
      <c r="L133" s="68">
        <v>3</v>
      </c>
      <c r="N133" s="53"/>
    </row>
    <row r="134" spans="1:28" s="52" customFormat="1" ht="96.6" x14ac:dyDescent="0.3">
      <c r="A134" s="1">
        <v>6</v>
      </c>
      <c r="B134" s="2" t="s">
        <v>51</v>
      </c>
      <c r="C134" s="80" t="s">
        <v>135</v>
      </c>
      <c r="D134" s="123" t="s">
        <v>10</v>
      </c>
      <c r="E134" s="124">
        <f t="shared" si="11"/>
        <v>2</v>
      </c>
      <c r="F134" s="125">
        <v>700</v>
      </c>
      <c r="G134" s="125">
        <f t="shared" si="10"/>
        <v>1400</v>
      </c>
      <c r="H134" s="81"/>
      <c r="I134" s="40"/>
      <c r="J134" s="41"/>
      <c r="K134" s="126"/>
      <c r="L134" s="68">
        <v>2</v>
      </c>
      <c r="N134" s="53"/>
    </row>
    <row r="135" spans="1:28" s="52" customFormat="1" ht="193.2" x14ac:dyDescent="0.3">
      <c r="A135" s="1">
        <v>6</v>
      </c>
      <c r="B135" s="2" t="s">
        <v>53</v>
      </c>
      <c r="C135" s="80" t="s">
        <v>136</v>
      </c>
      <c r="D135" s="123" t="s">
        <v>10</v>
      </c>
      <c r="E135" s="124">
        <f t="shared" si="11"/>
        <v>1</v>
      </c>
      <c r="F135" s="125">
        <v>5500</v>
      </c>
      <c r="G135" s="125">
        <f t="shared" si="10"/>
        <v>5500</v>
      </c>
      <c r="H135" s="81"/>
      <c r="I135" s="40"/>
      <c r="J135" s="41"/>
      <c r="K135" s="126"/>
      <c r="L135" s="68">
        <v>1</v>
      </c>
      <c r="N135" s="53"/>
    </row>
    <row r="136" spans="1:28" s="52" customFormat="1" ht="55.2" x14ac:dyDescent="0.3">
      <c r="A136" s="1">
        <v>6</v>
      </c>
      <c r="B136" s="2" t="s">
        <v>55</v>
      </c>
      <c r="C136" s="80" t="s">
        <v>137</v>
      </c>
      <c r="D136" s="123" t="s">
        <v>10</v>
      </c>
      <c r="E136" s="124">
        <f>SUM(H136:N136)</f>
        <v>1</v>
      </c>
      <c r="F136" s="125">
        <v>2000</v>
      </c>
      <c r="G136" s="125">
        <f t="shared" si="10"/>
        <v>2000</v>
      </c>
      <c r="H136" s="81"/>
      <c r="I136" s="40"/>
      <c r="J136" s="41"/>
      <c r="K136" s="126"/>
      <c r="L136" s="68">
        <v>1</v>
      </c>
      <c r="N136" s="53"/>
      <c r="P136" s="14"/>
      <c r="Y136" s="82"/>
      <c r="Z136" s="82"/>
      <c r="AA136" s="82"/>
      <c r="AB136" s="82"/>
    </row>
    <row r="137" spans="1:28" s="52" customFormat="1" ht="96.6" x14ac:dyDescent="0.3">
      <c r="A137" s="1">
        <v>6</v>
      </c>
      <c r="B137" s="2" t="s">
        <v>57</v>
      </c>
      <c r="C137" s="80" t="s">
        <v>221</v>
      </c>
      <c r="D137" s="123" t="s">
        <v>10</v>
      </c>
      <c r="E137" s="124">
        <f t="shared" ref="E137:E147" si="12">SUM(H137:N137)</f>
        <v>1</v>
      </c>
      <c r="F137" s="125">
        <v>2100</v>
      </c>
      <c r="G137" s="125">
        <f t="shared" si="10"/>
        <v>2100</v>
      </c>
      <c r="H137" s="81"/>
      <c r="I137" s="40"/>
      <c r="J137" s="41"/>
      <c r="K137" s="126">
        <v>1</v>
      </c>
      <c r="L137" s="43"/>
      <c r="N137" s="53"/>
      <c r="P137" s="14"/>
    </row>
    <row r="138" spans="1:28" s="52" customFormat="1" ht="124.2" x14ac:dyDescent="0.3">
      <c r="A138" s="1">
        <v>6</v>
      </c>
      <c r="B138" s="2" t="s">
        <v>58</v>
      </c>
      <c r="C138" s="80" t="s">
        <v>220</v>
      </c>
      <c r="D138" s="123" t="s">
        <v>29</v>
      </c>
      <c r="E138" s="124">
        <f t="shared" si="12"/>
        <v>3</v>
      </c>
      <c r="F138" s="125">
        <v>80</v>
      </c>
      <c r="G138" s="125">
        <f t="shared" si="10"/>
        <v>240</v>
      </c>
      <c r="H138" s="81"/>
      <c r="I138" s="40"/>
      <c r="J138" s="41"/>
      <c r="K138" s="126">
        <v>3</v>
      </c>
      <c r="L138" s="43"/>
      <c r="N138" s="53"/>
      <c r="P138" s="14"/>
    </row>
    <row r="139" spans="1:28" s="52" customFormat="1" ht="124.2" x14ac:dyDescent="0.3">
      <c r="A139" s="1">
        <v>6</v>
      </c>
      <c r="B139" s="2" t="s">
        <v>60</v>
      </c>
      <c r="C139" s="80" t="s">
        <v>219</v>
      </c>
      <c r="D139" s="123" t="s">
        <v>29</v>
      </c>
      <c r="E139" s="124">
        <f t="shared" si="12"/>
        <v>2</v>
      </c>
      <c r="F139" s="125">
        <v>90</v>
      </c>
      <c r="G139" s="125">
        <f t="shared" si="10"/>
        <v>180</v>
      </c>
      <c r="H139" s="81"/>
      <c r="I139" s="40"/>
      <c r="J139" s="41"/>
      <c r="K139" s="126">
        <v>2</v>
      </c>
      <c r="L139" s="43"/>
      <c r="N139" s="53"/>
      <c r="P139" s="14"/>
    </row>
    <row r="140" spans="1:28" s="52" customFormat="1" ht="124.2" x14ac:dyDescent="0.3">
      <c r="A140" s="1">
        <v>6</v>
      </c>
      <c r="B140" s="2" t="s">
        <v>77</v>
      </c>
      <c r="C140" s="80" t="s">
        <v>217</v>
      </c>
      <c r="D140" s="123" t="s">
        <v>29</v>
      </c>
      <c r="E140" s="124">
        <f t="shared" si="12"/>
        <v>1</v>
      </c>
      <c r="F140" s="125">
        <v>90</v>
      </c>
      <c r="G140" s="125">
        <f t="shared" si="10"/>
        <v>90</v>
      </c>
      <c r="H140" s="81"/>
      <c r="I140" s="40"/>
      <c r="J140" s="41"/>
      <c r="K140" s="126">
        <v>1</v>
      </c>
      <c r="L140" s="43"/>
      <c r="N140" s="53"/>
      <c r="P140" s="14"/>
    </row>
    <row r="141" spans="1:28" s="52" customFormat="1" ht="110.4" x14ac:dyDescent="0.3">
      <c r="A141" s="1">
        <v>6</v>
      </c>
      <c r="B141" s="2" t="s">
        <v>78</v>
      </c>
      <c r="C141" s="80" t="s">
        <v>215</v>
      </c>
      <c r="D141" s="123" t="s">
        <v>18</v>
      </c>
      <c r="E141" s="124">
        <f t="shared" si="12"/>
        <v>8</v>
      </c>
      <c r="F141" s="125">
        <v>30</v>
      </c>
      <c r="G141" s="125">
        <f t="shared" si="10"/>
        <v>240</v>
      </c>
      <c r="H141" s="81"/>
      <c r="I141" s="40"/>
      <c r="J141" s="41"/>
      <c r="K141" s="126">
        <v>8</v>
      </c>
      <c r="L141" s="43"/>
      <c r="N141" s="53"/>
      <c r="P141" s="14"/>
    </row>
    <row r="142" spans="1:28" s="52" customFormat="1" ht="90.75" customHeight="1" x14ac:dyDescent="0.3">
      <c r="A142" s="1">
        <v>6</v>
      </c>
      <c r="B142" s="2" t="s">
        <v>79</v>
      </c>
      <c r="C142" s="80" t="s">
        <v>213</v>
      </c>
      <c r="D142" s="123" t="s">
        <v>29</v>
      </c>
      <c r="E142" s="124">
        <f t="shared" si="12"/>
        <v>1</v>
      </c>
      <c r="F142" s="125">
        <v>80</v>
      </c>
      <c r="G142" s="125">
        <f t="shared" si="10"/>
        <v>80</v>
      </c>
      <c r="H142" s="81"/>
      <c r="I142" s="40"/>
      <c r="J142" s="41"/>
      <c r="K142" s="126">
        <v>1</v>
      </c>
      <c r="L142" s="43"/>
      <c r="N142" s="53"/>
      <c r="P142" s="14"/>
    </row>
    <row r="143" spans="1:28" s="52" customFormat="1" ht="124.2" x14ac:dyDescent="0.3">
      <c r="A143" s="1">
        <v>6</v>
      </c>
      <c r="B143" s="2" t="s">
        <v>81</v>
      </c>
      <c r="C143" s="80" t="s">
        <v>211</v>
      </c>
      <c r="D143" s="123" t="s">
        <v>29</v>
      </c>
      <c r="E143" s="124">
        <f t="shared" si="12"/>
        <v>3</v>
      </c>
      <c r="F143" s="125">
        <v>350</v>
      </c>
      <c r="G143" s="125">
        <f t="shared" si="10"/>
        <v>1050</v>
      </c>
      <c r="H143" s="81"/>
      <c r="I143" s="40"/>
      <c r="J143" s="41"/>
      <c r="K143" s="126">
        <v>3</v>
      </c>
      <c r="L143" s="43"/>
      <c r="N143" s="53"/>
      <c r="P143" s="14"/>
    </row>
    <row r="144" spans="1:28" s="52" customFormat="1" ht="110.4" x14ac:dyDescent="0.3">
      <c r="A144" s="1">
        <v>6</v>
      </c>
      <c r="B144" s="2" t="s">
        <v>218</v>
      </c>
      <c r="C144" s="80" t="s">
        <v>209</v>
      </c>
      <c r="D144" s="123" t="s">
        <v>29</v>
      </c>
      <c r="E144" s="124">
        <f t="shared" si="12"/>
        <v>2</v>
      </c>
      <c r="F144" s="125">
        <v>350</v>
      </c>
      <c r="G144" s="125">
        <f t="shared" si="10"/>
        <v>700</v>
      </c>
      <c r="H144" s="81"/>
      <c r="I144" s="40"/>
      <c r="J144" s="41"/>
      <c r="K144" s="126">
        <v>2</v>
      </c>
      <c r="L144" s="43"/>
      <c r="N144" s="53"/>
      <c r="P144" s="14"/>
    </row>
    <row r="145" spans="1:46" s="52" customFormat="1" ht="110.4" x14ac:dyDescent="0.3">
      <c r="A145" s="1">
        <v>6</v>
      </c>
      <c r="B145" s="2" t="s">
        <v>216</v>
      </c>
      <c r="C145" s="80" t="s">
        <v>207</v>
      </c>
      <c r="D145" s="123" t="s">
        <v>29</v>
      </c>
      <c r="E145" s="124">
        <f t="shared" si="12"/>
        <v>1</v>
      </c>
      <c r="F145" s="125">
        <v>350</v>
      </c>
      <c r="G145" s="125">
        <f t="shared" si="10"/>
        <v>350</v>
      </c>
      <c r="H145" s="81"/>
      <c r="I145" s="40"/>
      <c r="J145" s="41"/>
      <c r="K145" s="126">
        <v>1</v>
      </c>
      <c r="L145" s="43"/>
      <c r="N145" s="53"/>
      <c r="P145" s="14"/>
    </row>
    <row r="146" spans="1:46" s="52" customFormat="1" ht="138" x14ac:dyDescent="0.3">
      <c r="A146" s="1">
        <v>6</v>
      </c>
      <c r="B146" s="2" t="s">
        <v>214</v>
      </c>
      <c r="C146" s="80" t="s">
        <v>179</v>
      </c>
      <c r="D146" s="123" t="s">
        <v>29</v>
      </c>
      <c r="E146" s="124">
        <f t="shared" si="12"/>
        <v>8</v>
      </c>
      <c r="F146" s="125">
        <v>400</v>
      </c>
      <c r="G146" s="125">
        <f t="shared" si="10"/>
        <v>3200</v>
      </c>
      <c r="H146" s="81"/>
      <c r="I146" s="40"/>
      <c r="J146" s="41"/>
      <c r="K146" s="126">
        <v>8</v>
      </c>
      <c r="L146" s="43"/>
      <c r="N146" s="53"/>
      <c r="P146" s="14"/>
    </row>
    <row r="147" spans="1:46" s="52" customFormat="1" ht="96.6" x14ac:dyDescent="0.3">
      <c r="A147" s="1">
        <v>6</v>
      </c>
      <c r="B147" s="2" t="s">
        <v>212</v>
      </c>
      <c r="C147" s="80" t="s">
        <v>204</v>
      </c>
      <c r="D147" s="123" t="s">
        <v>29</v>
      </c>
      <c r="E147" s="124">
        <f t="shared" si="12"/>
        <v>1</v>
      </c>
      <c r="F147" s="125">
        <v>120</v>
      </c>
      <c r="G147" s="125">
        <f t="shared" si="10"/>
        <v>120</v>
      </c>
      <c r="H147" s="81"/>
      <c r="I147" s="40"/>
      <c r="J147" s="41"/>
      <c r="K147" s="126">
        <v>1</v>
      </c>
      <c r="L147" s="43"/>
      <c r="N147" s="53"/>
      <c r="P147" s="14"/>
    </row>
    <row r="148" spans="1:46" s="52" customFormat="1" ht="263.25" customHeight="1" x14ac:dyDescent="0.3">
      <c r="A148" s="306">
        <v>6</v>
      </c>
      <c r="B148" s="306" t="s">
        <v>210</v>
      </c>
      <c r="C148" s="80" t="s">
        <v>202</v>
      </c>
      <c r="D148" s="307" t="s">
        <v>10</v>
      </c>
      <c r="E148" s="308">
        <f>SUM(H148:N148)</f>
        <v>1</v>
      </c>
      <c r="F148" s="309">
        <v>35000</v>
      </c>
      <c r="G148" s="309">
        <f t="shared" si="10"/>
        <v>35000</v>
      </c>
      <c r="H148" s="81"/>
      <c r="I148" s="40"/>
      <c r="J148" s="41"/>
      <c r="K148" s="297">
        <v>1</v>
      </c>
      <c r="L148" s="43"/>
      <c r="N148" s="53"/>
      <c r="P148" s="14"/>
    </row>
    <row r="149" spans="1:46" s="52" customFormat="1" ht="240" customHeight="1" x14ac:dyDescent="0.3">
      <c r="A149" s="306"/>
      <c r="B149" s="306"/>
      <c r="C149" s="7" t="s">
        <v>201</v>
      </c>
      <c r="D149" s="307"/>
      <c r="E149" s="308"/>
      <c r="F149" s="309"/>
      <c r="G149" s="309"/>
      <c r="H149" s="81"/>
      <c r="I149" s="40"/>
      <c r="J149" s="41"/>
      <c r="K149" s="297"/>
      <c r="L149" s="43"/>
      <c r="N149" s="53"/>
      <c r="P149" s="14"/>
    </row>
    <row r="150" spans="1:46" s="52" customFormat="1" ht="96.6" x14ac:dyDescent="0.3">
      <c r="A150" s="1">
        <v>6</v>
      </c>
      <c r="B150" s="2" t="s">
        <v>208</v>
      </c>
      <c r="C150" s="80" t="s">
        <v>199</v>
      </c>
      <c r="D150" s="123" t="s">
        <v>10</v>
      </c>
      <c r="E150" s="124">
        <f>SUM(H150:N150)</f>
        <v>1</v>
      </c>
      <c r="F150" s="125">
        <v>2100</v>
      </c>
      <c r="G150" s="125">
        <f t="shared" ref="G150:G161" si="13">E150*F150</f>
        <v>2100</v>
      </c>
      <c r="H150" s="81"/>
      <c r="I150" s="40"/>
      <c r="J150" s="41"/>
      <c r="K150" s="126">
        <v>1</v>
      </c>
      <c r="L150" s="43"/>
      <c r="N150" s="53"/>
      <c r="P150" s="14"/>
    </row>
    <row r="151" spans="1:46" s="52" customFormat="1" ht="124.2" x14ac:dyDescent="0.3">
      <c r="A151" s="1">
        <v>6</v>
      </c>
      <c r="B151" s="2" t="s">
        <v>206</v>
      </c>
      <c r="C151" s="80" t="s">
        <v>197</v>
      </c>
      <c r="D151" s="123" t="s">
        <v>29</v>
      </c>
      <c r="E151" s="124">
        <f t="shared" ref="E151:E160" si="14">SUM(H151:N151)</f>
        <v>3</v>
      </c>
      <c r="F151" s="125">
        <v>80</v>
      </c>
      <c r="G151" s="125">
        <f t="shared" si="13"/>
        <v>240</v>
      </c>
      <c r="H151" s="81"/>
      <c r="I151" s="40"/>
      <c r="J151" s="41"/>
      <c r="K151" s="126">
        <v>3</v>
      </c>
      <c r="L151" s="43"/>
      <c r="N151" s="53"/>
      <c r="P151" s="14"/>
    </row>
    <row r="152" spans="1:46" s="52" customFormat="1" ht="124.2" x14ac:dyDescent="0.3">
      <c r="A152" s="1">
        <v>6</v>
      </c>
      <c r="B152" s="2" t="s">
        <v>205</v>
      </c>
      <c r="C152" s="80" t="s">
        <v>195</v>
      </c>
      <c r="D152" s="123" t="s">
        <v>29</v>
      </c>
      <c r="E152" s="124">
        <f t="shared" si="14"/>
        <v>2</v>
      </c>
      <c r="F152" s="125">
        <v>90</v>
      </c>
      <c r="G152" s="125">
        <f t="shared" si="13"/>
        <v>180</v>
      </c>
      <c r="H152" s="81"/>
      <c r="I152" s="40"/>
      <c r="J152" s="41"/>
      <c r="K152" s="126">
        <v>2</v>
      </c>
      <c r="L152" s="43"/>
      <c r="N152" s="53"/>
      <c r="P152" s="14"/>
    </row>
    <row r="153" spans="1:46" s="52" customFormat="1" ht="124.2" x14ac:dyDescent="0.3">
      <c r="A153" s="1">
        <v>6</v>
      </c>
      <c r="B153" s="2" t="s">
        <v>203</v>
      </c>
      <c r="C153" s="80" t="s">
        <v>193</v>
      </c>
      <c r="D153" s="123" t="s">
        <v>29</v>
      </c>
      <c r="E153" s="124">
        <f t="shared" si="14"/>
        <v>1</v>
      </c>
      <c r="F153" s="125">
        <v>90</v>
      </c>
      <c r="G153" s="125">
        <f t="shared" si="13"/>
        <v>90</v>
      </c>
      <c r="H153" s="81"/>
      <c r="I153" s="40"/>
      <c r="J153" s="41"/>
      <c r="K153" s="126">
        <v>1</v>
      </c>
      <c r="L153" s="43"/>
      <c r="M153" s="82"/>
      <c r="N153" s="114"/>
      <c r="O153" s="82"/>
      <c r="P153" s="115"/>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row>
    <row r="154" spans="1:46" s="52" customFormat="1" ht="110.4" x14ac:dyDescent="0.3">
      <c r="A154" s="1">
        <v>6</v>
      </c>
      <c r="B154" s="2" t="s">
        <v>200</v>
      </c>
      <c r="C154" s="80" t="s">
        <v>191</v>
      </c>
      <c r="D154" s="123" t="s">
        <v>18</v>
      </c>
      <c r="E154" s="124">
        <f t="shared" si="14"/>
        <v>8</v>
      </c>
      <c r="F154" s="125">
        <v>30</v>
      </c>
      <c r="G154" s="125">
        <f t="shared" si="13"/>
        <v>240</v>
      </c>
      <c r="H154" s="81"/>
      <c r="I154" s="40"/>
      <c r="J154" s="41"/>
      <c r="K154" s="126">
        <v>8</v>
      </c>
      <c r="L154" s="43"/>
      <c r="M154" s="82"/>
      <c r="N154" s="114"/>
      <c r="O154" s="82"/>
      <c r="P154" s="115"/>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row>
    <row r="155" spans="1:46" s="52" customFormat="1" ht="93" customHeight="1" x14ac:dyDescent="0.3">
      <c r="A155" s="1">
        <v>6</v>
      </c>
      <c r="B155" s="2" t="s">
        <v>198</v>
      </c>
      <c r="C155" s="80" t="s">
        <v>189</v>
      </c>
      <c r="D155" s="123" t="s">
        <v>29</v>
      </c>
      <c r="E155" s="124">
        <f t="shared" si="14"/>
        <v>1</v>
      </c>
      <c r="F155" s="125">
        <v>80</v>
      </c>
      <c r="G155" s="125">
        <f t="shared" si="13"/>
        <v>80</v>
      </c>
      <c r="H155" s="81"/>
      <c r="I155" s="40"/>
      <c r="J155" s="41"/>
      <c r="K155" s="126">
        <v>1</v>
      </c>
      <c r="L155" s="43"/>
      <c r="M155" s="82"/>
      <c r="N155" s="114"/>
      <c r="O155" s="82"/>
      <c r="P155" s="115"/>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row>
    <row r="156" spans="1:46" s="52" customFormat="1" ht="124.2" x14ac:dyDescent="0.3">
      <c r="A156" s="1">
        <v>6</v>
      </c>
      <c r="B156" s="2" t="s">
        <v>196</v>
      </c>
      <c r="C156" s="80" t="s">
        <v>187</v>
      </c>
      <c r="D156" s="123" t="s">
        <v>29</v>
      </c>
      <c r="E156" s="124">
        <f t="shared" si="14"/>
        <v>3</v>
      </c>
      <c r="F156" s="125">
        <v>350</v>
      </c>
      <c r="G156" s="125">
        <f t="shared" si="13"/>
        <v>1050</v>
      </c>
      <c r="H156" s="81"/>
      <c r="I156" s="40"/>
      <c r="J156" s="41"/>
      <c r="K156" s="126">
        <v>3</v>
      </c>
      <c r="L156" s="43"/>
      <c r="M156" s="82"/>
      <c r="N156" s="114"/>
      <c r="O156" s="82"/>
      <c r="P156" s="115"/>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row>
    <row r="157" spans="1:46" s="52" customFormat="1" ht="110.4" x14ac:dyDescent="0.3">
      <c r="A157" s="1">
        <v>6</v>
      </c>
      <c r="B157" s="2" t="s">
        <v>194</v>
      </c>
      <c r="C157" s="80" t="s">
        <v>185</v>
      </c>
      <c r="D157" s="123" t="s">
        <v>29</v>
      </c>
      <c r="E157" s="124">
        <f t="shared" si="14"/>
        <v>2</v>
      </c>
      <c r="F157" s="125">
        <v>350</v>
      </c>
      <c r="G157" s="125">
        <f t="shared" si="13"/>
        <v>700</v>
      </c>
      <c r="H157" s="81"/>
      <c r="I157" s="40"/>
      <c r="J157" s="41"/>
      <c r="K157" s="126">
        <v>2</v>
      </c>
      <c r="L157" s="43"/>
      <c r="M157" s="82"/>
      <c r="N157" s="114"/>
      <c r="O157" s="82"/>
      <c r="P157" s="115"/>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row>
    <row r="158" spans="1:46" s="52" customFormat="1" ht="110.4" x14ac:dyDescent="0.3">
      <c r="A158" s="1">
        <v>6</v>
      </c>
      <c r="B158" s="2" t="s">
        <v>192</v>
      </c>
      <c r="C158" s="80" t="s">
        <v>183</v>
      </c>
      <c r="D158" s="123" t="s">
        <v>29</v>
      </c>
      <c r="E158" s="124">
        <f t="shared" si="14"/>
        <v>1</v>
      </c>
      <c r="F158" s="125">
        <v>350</v>
      </c>
      <c r="G158" s="125">
        <f t="shared" si="13"/>
        <v>350</v>
      </c>
      <c r="H158" s="81"/>
      <c r="I158" s="40"/>
      <c r="J158" s="41"/>
      <c r="K158" s="126">
        <v>1</v>
      </c>
      <c r="L158" s="43"/>
      <c r="M158" s="82"/>
      <c r="N158" s="114"/>
      <c r="O158" s="82"/>
      <c r="P158" s="115"/>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row>
    <row r="159" spans="1:46" s="52" customFormat="1" ht="96.6" x14ac:dyDescent="0.3">
      <c r="A159" s="1">
        <v>6</v>
      </c>
      <c r="B159" s="2" t="s">
        <v>190</v>
      </c>
      <c r="C159" s="80" t="s">
        <v>181</v>
      </c>
      <c r="D159" s="123" t="s">
        <v>29</v>
      </c>
      <c r="E159" s="124">
        <f t="shared" si="14"/>
        <v>1</v>
      </c>
      <c r="F159" s="125">
        <v>120</v>
      </c>
      <c r="G159" s="125">
        <f t="shared" si="13"/>
        <v>120</v>
      </c>
      <c r="H159" s="81"/>
      <c r="I159" s="40"/>
      <c r="J159" s="41"/>
      <c r="K159" s="126">
        <v>1</v>
      </c>
      <c r="L159" s="43"/>
      <c r="M159" s="82"/>
      <c r="N159" s="114"/>
      <c r="O159" s="82"/>
      <c r="P159" s="115"/>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row>
    <row r="160" spans="1:46" s="52" customFormat="1" ht="126" customHeight="1" x14ac:dyDescent="0.3">
      <c r="A160" s="1">
        <v>6</v>
      </c>
      <c r="B160" s="2" t="s">
        <v>188</v>
      </c>
      <c r="C160" s="80" t="s">
        <v>179</v>
      </c>
      <c r="D160" s="123" t="s">
        <v>29</v>
      </c>
      <c r="E160" s="124">
        <f t="shared" si="14"/>
        <v>8</v>
      </c>
      <c r="F160" s="125">
        <v>400</v>
      </c>
      <c r="G160" s="125">
        <f t="shared" si="13"/>
        <v>3200</v>
      </c>
      <c r="H160" s="81"/>
      <c r="I160" s="40"/>
      <c r="J160" s="41"/>
      <c r="K160" s="126">
        <v>8</v>
      </c>
      <c r="L160" s="43"/>
      <c r="M160" s="82"/>
      <c r="N160" s="114"/>
      <c r="O160" s="82"/>
      <c r="P160" s="115"/>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row>
    <row r="161" spans="1:46" s="52" customFormat="1" ht="225" customHeight="1" x14ac:dyDescent="0.3">
      <c r="A161" s="306">
        <v>6</v>
      </c>
      <c r="B161" s="306" t="s">
        <v>186</v>
      </c>
      <c r="C161" s="101" t="s">
        <v>177</v>
      </c>
      <c r="D161" s="307" t="s">
        <v>10</v>
      </c>
      <c r="E161" s="308">
        <f>SUM(H161:N161)</f>
        <v>1</v>
      </c>
      <c r="F161" s="309">
        <v>36000</v>
      </c>
      <c r="G161" s="309">
        <f t="shared" si="13"/>
        <v>36000</v>
      </c>
      <c r="H161" s="81"/>
      <c r="I161" s="40"/>
      <c r="J161" s="41"/>
      <c r="K161" s="103">
        <v>1</v>
      </c>
      <c r="L161" s="43"/>
      <c r="M161" s="82"/>
      <c r="N161" s="114"/>
      <c r="O161" s="82"/>
      <c r="P161" s="115"/>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row>
    <row r="162" spans="1:46" s="52" customFormat="1" ht="232.5" customHeight="1" x14ac:dyDescent="0.3">
      <c r="A162" s="306"/>
      <c r="B162" s="306"/>
      <c r="C162" s="102" t="s">
        <v>176</v>
      </c>
      <c r="D162" s="307"/>
      <c r="E162" s="308"/>
      <c r="F162" s="309"/>
      <c r="G162" s="309"/>
      <c r="H162" s="81"/>
      <c r="I162" s="40"/>
      <c r="J162" s="41"/>
      <c r="K162" s="103"/>
      <c r="L162" s="43"/>
      <c r="M162" s="82"/>
      <c r="N162" s="114"/>
      <c r="O162" s="82"/>
      <c r="P162" s="115"/>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row>
    <row r="163" spans="1:46" s="52" customFormat="1" ht="96.6" x14ac:dyDescent="0.3">
      <c r="A163" s="1">
        <v>6</v>
      </c>
      <c r="B163" s="2" t="s">
        <v>184</v>
      </c>
      <c r="C163" s="80" t="s">
        <v>174</v>
      </c>
      <c r="D163" s="123" t="s">
        <v>10</v>
      </c>
      <c r="E163" s="124">
        <f>SUM(H163:N163)</f>
        <v>1</v>
      </c>
      <c r="F163" s="125">
        <v>2100</v>
      </c>
      <c r="G163" s="125">
        <f t="shared" ref="G163:G172" si="15">E163*F163</f>
        <v>2100</v>
      </c>
      <c r="H163" s="81"/>
      <c r="I163" s="40"/>
      <c r="J163" s="41"/>
      <c r="K163" s="126">
        <v>1</v>
      </c>
      <c r="L163" s="43"/>
      <c r="M163" s="82"/>
      <c r="N163" s="114"/>
      <c r="O163" s="82"/>
      <c r="P163" s="115"/>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row>
    <row r="164" spans="1:46" s="52" customFormat="1" ht="124.2" x14ac:dyDescent="0.3">
      <c r="A164" s="1">
        <v>6</v>
      </c>
      <c r="B164" s="2" t="s">
        <v>182</v>
      </c>
      <c r="C164" s="80" t="s">
        <v>172</v>
      </c>
      <c r="D164" s="123" t="s">
        <v>29</v>
      </c>
      <c r="E164" s="124">
        <f t="shared" ref="E164:E171" si="16">SUM(H164:N164)</f>
        <v>16</v>
      </c>
      <c r="F164" s="125">
        <v>80</v>
      </c>
      <c r="G164" s="125">
        <f t="shared" si="15"/>
        <v>1280</v>
      </c>
      <c r="H164" s="81"/>
      <c r="I164" s="40"/>
      <c r="J164" s="41"/>
      <c r="K164" s="126">
        <v>16</v>
      </c>
      <c r="L164" s="43"/>
      <c r="M164" s="82"/>
      <c r="N164" s="114"/>
      <c r="O164" s="82"/>
      <c r="P164" s="115"/>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row>
    <row r="165" spans="1:46" s="52" customFormat="1" ht="124.2" x14ac:dyDescent="0.3">
      <c r="A165" s="1">
        <v>6</v>
      </c>
      <c r="B165" s="2" t="s">
        <v>180</v>
      </c>
      <c r="C165" s="80" t="s">
        <v>170</v>
      </c>
      <c r="D165" s="123" t="s">
        <v>29</v>
      </c>
      <c r="E165" s="124">
        <f t="shared" si="16"/>
        <v>8</v>
      </c>
      <c r="F165" s="125">
        <v>90</v>
      </c>
      <c r="G165" s="125">
        <f t="shared" si="15"/>
        <v>720</v>
      </c>
      <c r="H165" s="81"/>
      <c r="I165" s="40"/>
      <c r="J165" s="41"/>
      <c r="K165" s="126">
        <v>8</v>
      </c>
      <c r="L165" s="43"/>
      <c r="M165" s="82"/>
      <c r="N165" s="114"/>
      <c r="O165" s="82"/>
      <c r="P165" s="115"/>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row>
    <row r="166" spans="1:46" s="52" customFormat="1" ht="96.6" x14ac:dyDescent="0.3">
      <c r="A166" s="1">
        <v>6</v>
      </c>
      <c r="B166" s="2" t="s">
        <v>178</v>
      </c>
      <c r="C166" s="80" t="s">
        <v>168</v>
      </c>
      <c r="D166" s="123" t="s">
        <v>29</v>
      </c>
      <c r="E166" s="124">
        <f t="shared" si="16"/>
        <v>7</v>
      </c>
      <c r="F166" s="125">
        <v>80</v>
      </c>
      <c r="G166" s="125">
        <f t="shared" si="15"/>
        <v>560</v>
      </c>
      <c r="H166" s="81"/>
      <c r="I166" s="40"/>
      <c r="J166" s="41"/>
      <c r="K166" s="126">
        <v>7</v>
      </c>
      <c r="L166" s="43"/>
      <c r="M166" s="82"/>
      <c r="N166" s="114"/>
      <c r="O166" s="82"/>
      <c r="P166" s="115"/>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row>
    <row r="167" spans="1:46" s="52" customFormat="1" ht="124.2" x14ac:dyDescent="0.3">
      <c r="A167" s="1">
        <v>6</v>
      </c>
      <c r="B167" s="2" t="s">
        <v>175</v>
      </c>
      <c r="C167" s="80" t="s">
        <v>166</v>
      </c>
      <c r="D167" s="123" t="s">
        <v>29</v>
      </c>
      <c r="E167" s="124">
        <f t="shared" si="16"/>
        <v>16</v>
      </c>
      <c r="F167" s="125">
        <v>350</v>
      </c>
      <c r="G167" s="125">
        <f t="shared" si="15"/>
        <v>5600</v>
      </c>
      <c r="H167" s="81"/>
      <c r="I167" s="40"/>
      <c r="J167" s="41"/>
      <c r="K167" s="126">
        <v>16</v>
      </c>
      <c r="L167" s="43"/>
      <c r="M167" s="82"/>
      <c r="N167" s="114"/>
      <c r="O167" s="82"/>
      <c r="P167" s="115"/>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row>
    <row r="168" spans="1:46" s="52" customFormat="1" ht="110.4" x14ac:dyDescent="0.3">
      <c r="A168" s="1">
        <v>6</v>
      </c>
      <c r="B168" s="2" t="s">
        <v>173</v>
      </c>
      <c r="C168" s="80" t="s">
        <v>164</v>
      </c>
      <c r="D168" s="123" t="s">
        <v>29</v>
      </c>
      <c r="E168" s="124">
        <f t="shared" si="16"/>
        <v>8</v>
      </c>
      <c r="F168" s="125">
        <v>350</v>
      </c>
      <c r="G168" s="125">
        <f t="shared" si="15"/>
        <v>2800</v>
      </c>
      <c r="H168" s="81"/>
      <c r="I168" s="40"/>
      <c r="J168" s="41"/>
      <c r="K168" s="126">
        <v>8</v>
      </c>
      <c r="L168" s="43"/>
      <c r="M168" s="82"/>
      <c r="N168" s="114"/>
      <c r="O168" s="82"/>
      <c r="P168" s="115"/>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row>
    <row r="169" spans="1:46" s="52" customFormat="1" ht="96.6" x14ac:dyDescent="0.3">
      <c r="A169" s="1">
        <v>6</v>
      </c>
      <c r="B169" s="2" t="s">
        <v>171</v>
      </c>
      <c r="C169" s="80" t="s">
        <v>162</v>
      </c>
      <c r="D169" s="123" t="s">
        <v>29</v>
      </c>
      <c r="E169" s="124">
        <f t="shared" si="16"/>
        <v>1</v>
      </c>
      <c r="F169" s="125">
        <v>120</v>
      </c>
      <c r="G169" s="125">
        <f t="shared" si="15"/>
        <v>120</v>
      </c>
      <c r="H169" s="81"/>
      <c r="I169" s="40"/>
      <c r="J169" s="41"/>
      <c r="K169" s="126">
        <v>1</v>
      </c>
      <c r="L169" s="43"/>
      <c r="M169" s="82"/>
      <c r="N169" s="114"/>
      <c r="O169" s="82"/>
      <c r="P169" s="115"/>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row>
    <row r="170" spans="1:46" s="52" customFormat="1" ht="110.4" x14ac:dyDescent="0.3">
      <c r="A170" s="1">
        <v>6</v>
      </c>
      <c r="B170" s="2" t="s">
        <v>169</v>
      </c>
      <c r="C170" s="80" t="s">
        <v>160</v>
      </c>
      <c r="D170" s="123" t="s">
        <v>29</v>
      </c>
      <c r="E170" s="124">
        <f t="shared" si="16"/>
        <v>7</v>
      </c>
      <c r="F170" s="125">
        <v>120</v>
      </c>
      <c r="G170" s="125">
        <f t="shared" si="15"/>
        <v>840</v>
      </c>
      <c r="H170" s="81"/>
      <c r="I170" s="40"/>
      <c r="J170" s="41"/>
      <c r="K170" s="126">
        <v>7</v>
      </c>
      <c r="L170" s="43"/>
      <c r="M170" s="82"/>
      <c r="N170" s="114"/>
      <c r="O170" s="82"/>
      <c r="P170" s="115"/>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row>
    <row r="171" spans="1:46" s="52" customFormat="1" ht="307.5" customHeight="1" x14ac:dyDescent="0.3">
      <c r="A171" s="1">
        <v>6</v>
      </c>
      <c r="B171" s="2" t="s">
        <v>167</v>
      </c>
      <c r="C171" s="80" t="s">
        <v>158</v>
      </c>
      <c r="D171" s="123" t="s">
        <v>10</v>
      </c>
      <c r="E171" s="124">
        <f t="shared" si="16"/>
        <v>1</v>
      </c>
      <c r="F171" s="125">
        <v>8000</v>
      </c>
      <c r="G171" s="125">
        <f t="shared" si="15"/>
        <v>8000</v>
      </c>
      <c r="H171" s="81"/>
      <c r="I171" s="40"/>
      <c r="J171" s="41"/>
      <c r="K171" s="126">
        <v>1</v>
      </c>
      <c r="L171" s="43"/>
      <c r="M171" s="82"/>
      <c r="N171" s="114"/>
      <c r="O171" s="82"/>
      <c r="P171" s="115"/>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row>
    <row r="172" spans="1:46" s="52" customFormat="1" ht="300" customHeight="1" x14ac:dyDescent="0.3">
      <c r="A172" s="150">
        <v>6</v>
      </c>
      <c r="B172" s="150" t="s">
        <v>165</v>
      </c>
      <c r="C172" s="142" t="s">
        <v>337</v>
      </c>
      <c r="D172" s="156" t="s">
        <v>29</v>
      </c>
      <c r="E172" s="148">
        <f>SUM(H172:N172)</f>
        <v>1</v>
      </c>
      <c r="F172" s="149">
        <v>6999</v>
      </c>
      <c r="G172" s="149">
        <f t="shared" si="15"/>
        <v>6999</v>
      </c>
      <c r="H172" s="81"/>
      <c r="I172" s="40"/>
      <c r="J172" s="41"/>
      <c r="K172" s="65"/>
      <c r="L172" s="43"/>
      <c r="M172" s="82"/>
      <c r="N172" s="114">
        <v>1</v>
      </c>
      <c r="O172" s="82"/>
      <c r="P172" s="115"/>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row>
    <row r="173" spans="1:46" s="52" customFormat="1" ht="234.6" x14ac:dyDescent="0.3">
      <c r="A173" s="155"/>
      <c r="B173" s="155"/>
      <c r="C173" s="143" t="s">
        <v>338</v>
      </c>
      <c r="D173" s="144"/>
      <c r="E173" s="145"/>
      <c r="F173" s="146"/>
      <c r="G173" s="146"/>
      <c r="H173" s="81"/>
      <c r="I173" s="40"/>
      <c r="J173" s="41"/>
      <c r="K173" s="65"/>
      <c r="L173" s="43"/>
      <c r="M173" s="82"/>
      <c r="N173" s="114"/>
      <c r="O173" s="82"/>
      <c r="P173" s="115"/>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row>
    <row r="174" spans="1:46" s="52" customFormat="1" ht="222.75" customHeight="1" x14ac:dyDescent="0.3">
      <c r="A174" s="1">
        <v>6</v>
      </c>
      <c r="B174" s="2" t="s">
        <v>163</v>
      </c>
      <c r="C174" s="7" t="s">
        <v>354</v>
      </c>
      <c r="D174" s="123" t="s">
        <v>29</v>
      </c>
      <c r="E174" s="124">
        <f t="shared" ref="E174:E180" si="17">SUM(H174:N174)</f>
        <v>1</v>
      </c>
      <c r="F174" s="125">
        <v>1799</v>
      </c>
      <c r="G174" s="125">
        <f t="shared" ref="G174:G176" si="18">E174*F174</f>
        <v>1799</v>
      </c>
      <c r="H174" s="81"/>
      <c r="I174" s="40"/>
      <c r="J174" s="41"/>
      <c r="K174" s="65"/>
      <c r="L174" s="43"/>
      <c r="M174" s="82"/>
      <c r="N174" s="114">
        <v>1</v>
      </c>
      <c r="O174" s="82"/>
      <c r="P174" s="115"/>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row>
    <row r="175" spans="1:46" s="52" customFormat="1" ht="331.2" x14ac:dyDescent="0.3">
      <c r="A175" s="1">
        <v>6</v>
      </c>
      <c r="B175" s="2" t="s">
        <v>161</v>
      </c>
      <c r="C175" s="80" t="s">
        <v>353</v>
      </c>
      <c r="D175" s="123" t="s">
        <v>29</v>
      </c>
      <c r="E175" s="124">
        <f t="shared" si="17"/>
        <v>1</v>
      </c>
      <c r="F175" s="125">
        <v>4339</v>
      </c>
      <c r="G175" s="125">
        <f t="shared" si="18"/>
        <v>4339</v>
      </c>
      <c r="H175" s="81"/>
      <c r="I175" s="40"/>
      <c r="J175" s="41"/>
      <c r="K175" s="65"/>
      <c r="L175" s="43"/>
      <c r="M175" s="82"/>
      <c r="N175" s="114">
        <v>1</v>
      </c>
      <c r="O175" s="82"/>
      <c r="P175" s="115"/>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row>
    <row r="176" spans="1:46" s="52" customFormat="1" ht="173.25" customHeight="1" x14ac:dyDescent="0.3">
      <c r="A176" s="154">
        <v>6</v>
      </c>
      <c r="B176" s="154" t="s">
        <v>159</v>
      </c>
      <c r="C176" s="80" t="s">
        <v>355</v>
      </c>
      <c r="D176" s="129" t="s">
        <v>29</v>
      </c>
      <c r="E176" s="152">
        <f t="shared" si="17"/>
        <v>1</v>
      </c>
      <c r="F176" s="153">
        <v>7649</v>
      </c>
      <c r="G176" s="153">
        <f t="shared" si="18"/>
        <v>7649</v>
      </c>
      <c r="H176" s="81"/>
      <c r="I176" s="40"/>
      <c r="J176" s="41"/>
      <c r="K176" s="65"/>
      <c r="L176" s="43"/>
      <c r="M176" s="82"/>
      <c r="N176" s="114">
        <v>1</v>
      </c>
      <c r="O176" s="82"/>
      <c r="P176" s="115"/>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row>
    <row r="177" spans="1:46" s="52" customFormat="1" ht="69" customHeight="1" x14ac:dyDescent="0.3">
      <c r="A177" s="1">
        <v>6</v>
      </c>
      <c r="B177" s="2" t="s">
        <v>222</v>
      </c>
      <c r="C177" s="80" t="s">
        <v>352</v>
      </c>
      <c r="D177" s="123" t="s">
        <v>29</v>
      </c>
      <c r="E177" s="124">
        <f t="shared" si="17"/>
        <v>2</v>
      </c>
      <c r="F177" s="125">
        <v>339</v>
      </c>
      <c r="G177" s="125">
        <f t="shared" ref="G177:G178" si="19">E177*F177</f>
        <v>678</v>
      </c>
      <c r="H177" s="81"/>
      <c r="I177" s="40"/>
      <c r="J177" s="41"/>
      <c r="K177" s="65"/>
      <c r="L177" s="43"/>
      <c r="M177" s="82"/>
      <c r="N177" s="114">
        <v>2</v>
      </c>
      <c r="O177" s="82"/>
      <c r="P177" s="115"/>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row>
    <row r="178" spans="1:46" s="52" customFormat="1" ht="370.5" customHeight="1" x14ac:dyDescent="0.3">
      <c r="A178" s="154">
        <v>6</v>
      </c>
      <c r="B178" s="154" t="s">
        <v>223</v>
      </c>
      <c r="C178" s="80" t="s">
        <v>351</v>
      </c>
      <c r="D178" s="151" t="s">
        <v>29</v>
      </c>
      <c r="E178" s="152">
        <f t="shared" si="17"/>
        <v>96</v>
      </c>
      <c r="F178" s="153">
        <v>299</v>
      </c>
      <c r="G178" s="153">
        <f t="shared" si="19"/>
        <v>28704</v>
      </c>
      <c r="H178" s="81"/>
      <c r="I178" s="40"/>
      <c r="J178" s="41"/>
      <c r="K178" s="65"/>
      <c r="L178" s="43"/>
      <c r="M178" s="82"/>
      <c r="N178" s="114">
        <v>96</v>
      </c>
      <c r="O178" s="82"/>
      <c r="P178" s="115"/>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row>
    <row r="179" spans="1:46" s="52" customFormat="1" ht="409.6" x14ac:dyDescent="0.3">
      <c r="A179" s="1">
        <v>6</v>
      </c>
      <c r="B179" s="2" t="s">
        <v>253</v>
      </c>
      <c r="C179" s="80" t="s">
        <v>350</v>
      </c>
      <c r="D179" s="123" t="s">
        <v>29</v>
      </c>
      <c r="E179" s="124">
        <f t="shared" si="17"/>
        <v>4</v>
      </c>
      <c r="F179" s="125">
        <v>339</v>
      </c>
      <c r="G179" s="125">
        <f t="shared" ref="G179:G203" si="20">E179*F179</f>
        <v>1356</v>
      </c>
      <c r="H179" s="81"/>
      <c r="I179" s="40"/>
      <c r="J179" s="41"/>
      <c r="K179" s="65"/>
      <c r="L179" s="43"/>
      <c r="M179" s="82"/>
      <c r="N179" s="114">
        <v>4</v>
      </c>
      <c r="O179" s="82"/>
      <c r="P179" s="115"/>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row>
    <row r="180" spans="1:46" s="52" customFormat="1" ht="82.8" x14ac:dyDescent="0.3">
      <c r="A180" s="1">
        <v>6</v>
      </c>
      <c r="B180" s="2" t="s">
        <v>254</v>
      </c>
      <c r="C180" s="80" t="s">
        <v>359</v>
      </c>
      <c r="D180" s="123" t="s">
        <v>29</v>
      </c>
      <c r="E180" s="124">
        <f t="shared" si="17"/>
        <v>100</v>
      </c>
      <c r="F180" s="125">
        <v>25</v>
      </c>
      <c r="G180" s="125">
        <f t="shared" si="20"/>
        <v>2500</v>
      </c>
      <c r="H180" s="81"/>
      <c r="I180" s="40"/>
      <c r="J180" s="41"/>
      <c r="K180" s="65"/>
      <c r="L180" s="43"/>
      <c r="M180" s="82"/>
      <c r="N180" s="114">
        <v>100</v>
      </c>
      <c r="O180" s="82"/>
      <c r="P180" s="115"/>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row>
    <row r="181" spans="1:46" s="52" customFormat="1" ht="69" x14ac:dyDescent="0.3">
      <c r="A181" s="1">
        <v>6</v>
      </c>
      <c r="B181" s="2" t="s">
        <v>255</v>
      </c>
      <c r="C181" s="80" t="s">
        <v>349</v>
      </c>
      <c r="D181" s="123" t="s">
        <v>29</v>
      </c>
      <c r="E181" s="124">
        <f t="shared" ref="E181:E248" si="21">SUM(H181:N181)</f>
        <v>96</v>
      </c>
      <c r="F181" s="125">
        <v>30</v>
      </c>
      <c r="G181" s="125">
        <f t="shared" si="20"/>
        <v>2880</v>
      </c>
      <c r="H181" s="81"/>
      <c r="I181" s="40"/>
      <c r="J181" s="41"/>
      <c r="K181" s="65"/>
      <c r="L181" s="43"/>
      <c r="M181" s="82"/>
      <c r="N181" s="114">
        <v>96</v>
      </c>
      <c r="O181" s="82"/>
      <c r="P181" s="115"/>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row>
    <row r="182" spans="1:46" s="52" customFormat="1" ht="303.60000000000002" x14ac:dyDescent="0.3">
      <c r="A182" s="1">
        <v>6</v>
      </c>
      <c r="B182" s="2" t="s">
        <v>269</v>
      </c>
      <c r="C182" s="80" t="s">
        <v>348</v>
      </c>
      <c r="D182" s="123" t="s">
        <v>29</v>
      </c>
      <c r="E182" s="124">
        <f t="shared" si="21"/>
        <v>15</v>
      </c>
      <c r="F182" s="125">
        <v>399</v>
      </c>
      <c r="G182" s="125">
        <f t="shared" si="20"/>
        <v>5985</v>
      </c>
      <c r="H182" s="81"/>
      <c r="I182" s="40"/>
      <c r="J182" s="41"/>
      <c r="K182" s="65"/>
      <c r="L182" s="43"/>
      <c r="M182" s="82"/>
      <c r="N182" s="114">
        <v>15</v>
      </c>
      <c r="O182" s="82"/>
      <c r="P182" s="115"/>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row>
    <row r="183" spans="1:46" s="52" customFormat="1" ht="248.4" x14ac:dyDescent="0.3">
      <c r="A183" s="1">
        <v>6</v>
      </c>
      <c r="B183" s="2" t="s">
        <v>256</v>
      </c>
      <c r="C183" s="80" t="s">
        <v>347</v>
      </c>
      <c r="D183" s="123" t="s">
        <v>29</v>
      </c>
      <c r="E183" s="124">
        <f t="shared" si="21"/>
        <v>3</v>
      </c>
      <c r="F183" s="125">
        <v>379</v>
      </c>
      <c r="G183" s="125">
        <f t="shared" si="20"/>
        <v>1137</v>
      </c>
      <c r="H183" s="81"/>
      <c r="I183" s="40"/>
      <c r="J183" s="41"/>
      <c r="K183" s="65"/>
      <c r="L183" s="43"/>
      <c r="M183" s="82"/>
      <c r="N183" s="114">
        <v>3</v>
      </c>
      <c r="O183" s="82"/>
      <c r="P183" s="115"/>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row>
    <row r="184" spans="1:46" s="52" customFormat="1" ht="276" x14ac:dyDescent="0.3">
      <c r="A184" s="1">
        <v>6</v>
      </c>
      <c r="B184" s="2" t="s">
        <v>257</v>
      </c>
      <c r="C184" s="80" t="s">
        <v>346</v>
      </c>
      <c r="D184" s="123" t="s">
        <v>29</v>
      </c>
      <c r="E184" s="124">
        <f t="shared" si="21"/>
        <v>3</v>
      </c>
      <c r="F184" s="125">
        <v>1019</v>
      </c>
      <c r="G184" s="125">
        <f t="shared" si="20"/>
        <v>3057</v>
      </c>
      <c r="H184" s="81"/>
      <c r="I184" s="40"/>
      <c r="J184" s="41"/>
      <c r="K184" s="65"/>
      <c r="L184" s="43"/>
      <c r="M184" s="82"/>
      <c r="N184" s="114">
        <v>3</v>
      </c>
      <c r="O184" s="82"/>
      <c r="P184" s="115"/>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row>
    <row r="185" spans="1:46" s="52" customFormat="1" ht="69" x14ac:dyDescent="0.3">
      <c r="A185" s="1">
        <v>6</v>
      </c>
      <c r="B185" s="2" t="s">
        <v>270</v>
      </c>
      <c r="C185" s="80" t="s">
        <v>345</v>
      </c>
      <c r="D185" s="123" t="s">
        <v>29</v>
      </c>
      <c r="E185" s="124">
        <f t="shared" si="21"/>
        <v>6</v>
      </c>
      <c r="F185" s="125">
        <v>80</v>
      </c>
      <c r="G185" s="125">
        <f t="shared" si="20"/>
        <v>480</v>
      </c>
      <c r="H185" s="81"/>
      <c r="I185" s="40"/>
      <c r="J185" s="41"/>
      <c r="K185" s="65"/>
      <c r="L185" s="43"/>
      <c r="M185" s="82"/>
      <c r="N185" s="114">
        <v>6</v>
      </c>
      <c r="O185" s="82"/>
      <c r="P185" s="115"/>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row>
    <row r="186" spans="1:46" s="52" customFormat="1" ht="295.5" customHeight="1" x14ac:dyDescent="0.3">
      <c r="A186" s="1">
        <v>6</v>
      </c>
      <c r="B186" s="2" t="s">
        <v>271</v>
      </c>
      <c r="C186" s="80" t="s">
        <v>344</v>
      </c>
      <c r="D186" s="123" t="s">
        <v>29</v>
      </c>
      <c r="E186" s="124">
        <f t="shared" si="21"/>
        <v>14</v>
      </c>
      <c r="F186" s="125">
        <v>579</v>
      </c>
      <c r="G186" s="125">
        <f t="shared" si="20"/>
        <v>8106</v>
      </c>
      <c r="H186" s="81"/>
      <c r="I186" s="40"/>
      <c r="J186" s="41"/>
      <c r="K186" s="65"/>
      <c r="L186" s="43"/>
      <c r="M186" s="82"/>
      <c r="N186" s="114">
        <v>14</v>
      </c>
      <c r="O186" s="82"/>
      <c r="P186" s="115"/>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row>
    <row r="187" spans="1:46" s="52" customFormat="1" ht="358.5" customHeight="1" x14ac:dyDescent="0.3">
      <c r="A187" s="1">
        <v>6</v>
      </c>
      <c r="B187" s="2" t="s">
        <v>272</v>
      </c>
      <c r="C187" s="80" t="s">
        <v>343</v>
      </c>
      <c r="D187" s="123" t="s">
        <v>10</v>
      </c>
      <c r="E187" s="124">
        <f t="shared" si="21"/>
        <v>3</v>
      </c>
      <c r="F187" s="125">
        <v>869</v>
      </c>
      <c r="G187" s="125">
        <f t="shared" si="20"/>
        <v>2607</v>
      </c>
      <c r="H187" s="81"/>
      <c r="I187" s="40"/>
      <c r="J187" s="41"/>
      <c r="K187" s="65"/>
      <c r="L187" s="43"/>
      <c r="M187" s="82"/>
      <c r="N187" s="114">
        <v>3</v>
      </c>
      <c r="O187" s="82"/>
      <c r="P187" s="115"/>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row>
    <row r="188" spans="1:46" s="52" customFormat="1" ht="409.6" x14ac:dyDescent="0.3">
      <c r="A188" s="158">
        <v>6</v>
      </c>
      <c r="B188" s="159" t="s">
        <v>273</v>
      </c>
      <c r="C188" s="142" t="s">
        <v>342</v>
      </c>
      <c r="D188" s="156" t="s">
        <v>29</v>
      </c>
      <c r="E188" s="160">
        <f t="shared" si="21"/>
        <v>1</v>
      </c>
      <c r="F188" s="161">
        <v>5000</v>
      </c>
      <c r="G188" s="161">
        <f t="shared" si="20"/>
        <v>5000</v>
      </c>
      <c r="H188" s="81"/>
      <c r="I188" s="40"/>
      <c r="J188" s="41"/>
      <c r="K188" s="65"/>
      <c r="L188" s="43"/>
      <c r="M188" s="82"/>
      <c r="N188" s="157">
        <v>1</v>
      </c>
      <c r="O188" s="82"/>
      <c r="P188" s="115"/>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row>
    <row r="189" spans="1:46" s="52" customFormat="1" ht="358.8" x14ac:dyDescent="0.3">
      <c r="A189" s="22"/>
      <c r="B189" s="23"/>
      <c r="C189" s="143" t="s">
        <v>339</v>
      </c>
      <c r="D189" s="130"/>
      <c r="E189" s="132"/>
      <c r="F189" s="128"/>
      <c r="G189" s="128"/>
      <c r="H189" s="81"/>
      <c r="I189" s="40"/>
      <c r="J189" s="41"/>
      <c r="K189" s="65"/>
      <c r="L189" s="43"/>
      <c r="M189" s="82"/>
      <c r="N189" s="114"/>
      <c r="O189" s="82"/>
      <c r="P189" s="115"/>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row>
    <row r="190" spans="1:46" s="52" customFormat="1" ht="82.8" x14ac:dyDescent="0.3">
      <c r="A190" s="1">
        <v>6</v>
      </c>
      <c r="B190" s="2" t="s">
        <v>274</v>
      </c>
      <c r="C190" s="80" t="s">
        <v>341</v>
      </c>
      <c r="D190" s="123" t="s">
        <v>29</v>
      </c>
      <c r="E190" s="124">
        <f t="shared" si="21"/>
        <v>1</v>
      </c>
      <c r="F190" s="125">
        <v>2400</v>
      </c>
      <c r="G190" s="125">
        <f t="shared" si="20"/>
        <v>2400</v>
      </c>
      <c r="H190" s="81"/>
      <c r="I190" s="40"/>
      <c r="J190" s="41"/>
      <c r="K190" s="65"/>
      <c r="L190" s="43"/>
      <c r="M190" s="82"/>
      <c r="N190" s="114">
        <v>1</v>
      </c>
      <c r="O190" s="82"/>
      <c r="P190" s="115"/>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row>
    <row r="191" spans="1:46" s="52" customFormat="1" ht="27.6" x14ac:dyDescent="0.3">
      <c r="A191" s="1">
        <v>6</v>
      </c>
      <c r="B191" s="2" t="s">
        <v>275</v>
      </c>
      <c r="C191" s="80" t="s">
        <v>340</v>
      </c>
      <c r="D191" s="123" t="s">
        <v>29</v>
      </c>
      <c r="E191" s="124">
        <f t="shared" si="21"/>
        <v>138</v>
      </c>
      <c r="F191" s="125">
        <v>20</v>
      </c>
      <c r="G191" s="125">
        <f t="shared" si="20"/>
        <v>2760</v>
      </c>
      <c r="H191" s="81"/>
      <c r="I191" s="40"/>
      <c r="J191" s="41"/>
      <c r="K191" s="65"/>
      <c r="L191" s="43"/>
      <c r="M191" s="82"/>
      <c r="N191" s="114">
        <v>138</v>
      </c>
      <c r="O191" s="82"/>
      <c r="P191" s="115"/>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row>
    <row r="192" spans="1:46" s="52" customFormat="1" ht="138" x14ac:dyDescent="0.3">
      <c r="A192" s="1">
        <v>6</v>
      </c>
      <c r="B192" s="2" t="s">
        <v>276</v>
      </c>
      <c r="C192" s="80" t="s">
        <v>356</v>
      </c>
      <c r="D192" s="123" t="s">
        <v>29</v>
      </c>
      <c r="E192" s="124">
        <f t="shared" si="21"/>
        <v>1</v>
      </c>
      <c r="F192" s="125">
        <v>2500</v>
      </c>
      <c r="G192" s="125">
        <f t="shared" si="20"/>
        <v>2500</v>
      </c>
      <c r="H192" s="81"/>
      <c r="I192" s="40"/>
      <c r="J192" s="41"/>
      <c r="K192" s="65"/>
      <c r="L192" s="43"/>
      <c r="M192" s="82"/>
      <c r="N192" s="114">
        <v>1</v>
      </c>
      <c r="O192" s="82"/>
      <c r="P192" s="115"/>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row>
    <row r="193" spans="1:46" s="52" customFormat="1" ht="13.8" x14ac:dyDescent="0.3">
      <c r="A193" s="1">
        <v>6</v>
      </c>
      <c r="B193" s="2" t="s">
        <v>277</v>
      </c>
      <c r="C193" s="80" t="s">
        <v>357</v>
      </c>
      <c r="D193" s="123" t="s">
        <v>29</v>
      </c>
      <c r="E193" s="124">
        <f t="shared" si="21"/>
        <v>1</v>
      </c>
      <c r="F193" s="125">
        <v>250</v>
      </c>
      <c r="G193" s="125">
        <f t="shared" si="20"/>
        <v>250</v>
      </c>
      <c r="H193" s="81"/>
      <c r="I193" s="40"/>
      <c r="J193" s="41"/>
      <c r="K193" s="65"/>
      <c r="L193" s="43"/>
      <c r="M193" s="82"/>
      <c r="N193" s="114">
        <v>1</v>
      </c>
      <c r="O193" s="82"/>
      <c r="P193" s="115"/>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row>
    <row r="194" spans="1:46" s="52" customFormat="1" ht="27.6" x14ac:dyDescent="0.3">
      <c r="A194" s="1">
        <v>6</v>
      </c>
      <c r="B194" s="2" t="s">
        <v>278</v>
      </c>
      <c r="C194" s="80" t="s">
        <v>358</v>
      </c>
      <c r="D194" s="123" t="s">
        <v>29</v>
      </c>
      <c r="E194" s="124">
        <f t="shared" si="21"/>
        <v>100</v>
      </c>
      <c r="F194" s="125">
        <v>75</v>
      </c>
      <c r="G194" s="125">
        <f t="shared" si="20"/>
        <v>7500</v>
      </c>
      <c r="H194" s="81"/>
      <c r="I194" s="40"/>
      <c r="J194" s="41"/>
      <c r="K194" s="65"/>
      <c r="L194" s="43"/>
      <c r="M194" s="82"/>
      <c r="N194" s="114">
        <v>100</v>
      </c>
      <c r="O194" s="82"/>
      <c r="P194" s="115"/>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row>
    <row r="195" spans="1:46" s="52" customFormat="1" ht="27.6" x14ac:dyDescent="0.3">
      <c r="A195" s="1">
        <v>6</v>
      </c>
      <c r="B195" s="2" t="s">
        <v>279</v>
      </c>
      <c r="C195" s="80" t="s">
        <v>360</v>
      </c>
      <c r="D195" s="123" t="s">
        <v>29</v>
      </c>
      <c r="E195" s="124">
        <f t="shared" si="21"/>
        <v>100</v>
      </c>
      <c r="F195" s="125">
        <v>15</v>
      </c>
      <c r="G195" s="125">
        <f t="shared" si="20"/>
        <v>1500</v>
      </c>
      <c r="H195" s="81"/>
      <c r="I195" s="40"/>
      <c r="J195" s="41"/>
      <c r="K195" s="65"/>
      <c r="L195" s="43"/>
      <c r="M195" s="82"/>
      <c r="N195" s="114">
        <v>100</v>
      </c>
      <c r="O195" s="82"/>
      <c r="P195" s="115"/>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row>
    <row r="196" spans="1:46" s="52" customFormat="1" ht="13.8" x14ac:dyDescent="0.3">
      <c r="A196" s="1">
        <v>6</v>
      </c>
      <c r="B196" s="2" t="s">
        <v>280</v>
      </c>
      <c r="C196" s="80" t="s">
        <v>361</v>
      </c>
      <c r="D196" s="123" t="s">
        <v>29</v>
      </c>
      <c r="E196" s="124">
        <f t="shared" si="21"/>
        <v>100</v>
      </c>
      <c r="F196" s="125">
        <v>15</v>
      </c>
      <c r="G196" s="125">
        <f t="shared" si="20"/>
        <v>1500</v>
      </c>
      <c r="H196" s="81"/>
      <c r="I196" s="40"/>
      <c r="J196" s="41"/>
      <c r="K196" s="65"/>
      <c r="L196" s="43"/>
      <c r="M196" s="82"/>
      <c r="N196" s="114">
        <v>100</v>
      </c>
      <c r="O196" s="82"/>
      <c r="P196" s="115"/>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row>
    <row r="197" spans="1:46" s="52" customFormat="1" ht="27.6" x14ac:dyDescent="0.3">
      <c r="A197" s="1">
        <v>6</v>
      </c>
      <c r="B197" s="2" t="s">
        <v>281</v>
      </c>
      <c r="C197" s="80" t="s">
        <v>362</v>
      </c>
      <c r="D197" s="123" t="s">
        <v>29</v>
      </c>
      <c r="E197" s="124">
        <f t="shared" si="21"/>
        <v>15</v>
      </c>
      <c r="F197" s="125">
        <v>75</v>
      </c>
      <c r="G197" s="125">
        <f t="shared" si="20"/>
        <v>1125</v>
      </c>
      <c r="H197" s="81"/>
      <c r="I197" s="40"/>
      <c r="J197" s="41"/>
      <c r="K197" s="65"/>
      <c r="L197" s="43"/>
      <c r="M197" s="82"/>
      <c r="N197" s="114">
        <v>15</v>
      </c>
      <c r="O197" s="82"/>
      <c r="P197" s="115"/>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row>
    <row r="198" spans="1:46" s="52" customFormat="1" ht="27.6" x14ac:dyDescent="0.3">
      <c r="A198" s="1">
        <v>6</v>
      </c>
      <c r="B198" s="2" t="s">
        <v>282</v>
      </c>
      <c r="C198" s="80" t="s">
        <v>363</v>
      </c>
      <c r="D198" s="123" t="s">
        <v>29</v>
      </c>
      <c r="E198" s="124">
        <f t="shared" si="21"/>
        <v>17</v>
      </c>
      <c r="F198" s="125">
        <v>75</v>
      </c>
      <c r="G198" s="125">
        <f t="shared" si="20"/>
        <v>1275</v>
      </c>
      <c r="H198" s="81"/>
      <c r="I198" s="40"/>
      <c r="J198" s="41"/>
      <c r="K198" s="65"/>
      <c r="L198" s="43"/>
      <c r="M198" s="82"/>
      <c r="N198" s="114">
        <v>17</v>
      </c>
      <c r="O198" s="82"/>
      <c r="P198" s="115"/>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row>
    <row r="199" spans="1:46" s="52" customFormat="1" ht="13.8" x14ac:dyDescent="0.3">
      <c r="A199" s="1">
        <v>6</v>
      </c>
      <c r="B199" s="2" t="s">
        <v>283</v>
      </c>
      <c r="C199" s="80" t="s">
        <v>364</v>
      </c>
      <c r="D199" s="123" t="s">
        <v>29</v>
      </c>
      <c r="E199" s="124">
        <f t="shared" si="21"/>
        <v>6</v>
      </c>
      <c r="F199" s="125">
        <v>230</v>
      </c>
      <c r="G199" s="125">
        <f t="shared" si="20"/>
        <v>1380</v>
      </c>
      <c r="H199" s="81"/>
      <c r="I199" s="40"/>
      <c r="J199" s="41"/>
      <c r="K199" s="65"/>
      <c r="L199" s="43"/>
      <c r="M199" s="82"/>
      <c r="N199" s="114">
        <v>6</v>
      </c>
      <c r="O199" s="82"/>
      <c r="P199" s="115"/>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row>
    <row r="200" spans="1:46" s="52" customFormat="1" ht="55.2" x14ac:dyDescent="0.3">
      <c r="A200" s="1">
        <v>6</v>
      </c>
      <c r="B200" s="2" t="s">
        <v>284</v>
      </c>
      <c r="C200" s="80" t="s">
        <v>365</v>
      </c>
      <c r="D200" s="123" t="s">
        <v>29</v>
      </c>
      <c r="E200" s="124">
        <f t="shared" si="21"/>
        <v>1</v>
      </c>
      <c r="F200" s="125">
        <v>300</v>
      </c>
      <c r="G200" s="125">
        <f t="shared" si="20"/>
        <v>300</v>
      </c>
      <c r="H200" s="81"/>
      <c r="I200" s="40"/>
      <c r="J200" s="41"/>
      <c r="K200" s="65"/>
      <c r="L200" s="43"/>
      <c r="M200" s="82"/>
      <c r="N200" s="114">
        <v>1</v>
      </c>
      <c r="O200" s="82"/>
      <c r="P200" s="115"/>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row>
    <row r="201" spans="1:46" s="52" customFormat="1" ht="55.2" x14ac:dyDescent="0.3">
      <c r="A201" s="1">
        <v>6</v>
      </c>
      <c r="B201" s="2" t="s">
        <v>285</v>
      </c>
      <c r="C201" s="80" t="s">
        <v>366</v>
      </c>
      <c r="D201" s="123" t="s">
        <v>10</v>
      </c>
      <c r="E201" s="124">
        <f t="shared" si="21"/>
        <v>1</v>
      </c>
      <c r="F201" s="125">
        <v>5000</v>
      </c>
      <c r="G201" s="125">
        <f t="shared" si="20"/>
        <v>5000</v>
      </c>
      <c r="H201" s="81"/>
      <c r="I201" s="40"/>
      <c r="J201" s="41"/>
      <c r="K201" s="65"/>
      <c r="L201" s="43"/>
      <c r="M201" s="82"/>
      <c r="N201" s="114">
        <v>1</v>
      </c>
      <c r="O201" s="82"/>
      <c r="P201" s="115"/>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row>
    <row r="202" spans="1:46" s="52" customFormat="1" ht="41.4" x14ac:dyDescent="0.3">
      <c r="A202" s="1">
        <v>6</v>
      </c>
      <c r="B202" s="2" t="s">
        <v>286</v>
      </c>
      <c r="C202" s="80" t="s">
        <v>367</v>
      </c>
      <c r="D202" s="123" t="s">
        <v>29</v>
      </c>
      <c r="E202" s="124">
        <f t="shared" si="21"/>
        <v>138</v>
      </c>
      <c r="F202" s="125">
        <v>100</v>
      </c>
      <c r="G202" s="125">
        <f t="shared" si="20"/>
        <v>13800</v>
      </c>
      <c r="H202" s="81"/>
      <c r="I202" s="40"/>
      <c r="J202" s="41"/>
      <c r="K202" s="65"/>
      <c r="L202" s="43"/>
      <c r="M202" s="82"/>
      <c r="N202" s="114">
        <v>138</v>
      </c>
      <c r="O202" s="82"/>
      <c r="P202" s="115"/>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row>
    <row r="203" spans="1:46" s="52" customFormat="1" ht="41.4" x14ac:dyDescent="0.3">
      <c r="A203" s="1">
        <v>6</v>
      </c>
      <c r="B203" s="2" t="s">
        <v>287</v>
      </c>
      <c r="C203" s="80" t="s">
        <v>368</v>
      </c>
      <c r="D203" s="123" t="s">
        <v>29</v>
      </c>
      <c r="E203" s="124">
        <f t="shared" si="21"/>
        <v>138</v>
      </c>
      <c r="F203" s="125">
        <v>5</v>
      </c>
      <c r="G203" s="125">
        <f t="shared" si="20"/>
        <v>690</v>
      </c>
      <c r="H203" s="81"/>
      <c r="I203" s="40"/>
      <c r="J203" s="41"/>
      <c r="K203" s="65"/>
      <c r="L203" s="43"/>
      <c r="M203" s="82"/>
      <c r="N203" s="114">
        <v>138</v>
      </c>
      <c r="O203" s="82"/>
      <c r="P203" s="115"/>
      <c r="Q203" s="82"/>
      <c r="R203" s="82"/>
      <c r="S203" s="82"/>
      <c r="T203" s="82"/>
      <c r="U203" s="82"/>
      <c r="V203" s="116"/>
      <c r="W203" s="116"/>
      <c r="X203" s="116"/>
      <c r="Y203" s="116"/>
      <c r="Z203" s="116"/>
      <c r="AA203" s="116"/>
      <c r="AB203" s="116"/>
      <c r="AC203" s="116"/>
      <c r="AD203" s="116"/>
      <c r="AE203" s="82"/>
      <c r="AF203" s="82"/>
      <c r="AG203" s="82"/>
      <c r="AH203" s="82"/>
      <c r="AI203" s="82"/>
      <c r="AJ203" s="82"/>
      <c r="AK203" s="82"/>
      <c r="AL203" s="82"/>
      <c r="AM203" s="82"/>
      <c r="AN203" s="82"/>
      <c r="AO203" s="82"/>
      <c r="AP203" s="82"/>
      <c r="AQ203" s="82"/>
      <c r="AR203" s="82"/>
      <c r="AS203" s="82"/>
      <c r="AT203" s="82"/>
    </row>
    <row r="204" spans="1:46" s="109" customFormat="1" ht="69" x14ac:dyDescent="0.3">
      <c r="A204" s="1">
        <v>6</v>
      </c>
      <c r="B204" s="2" t="s">
        <v>288</v>
      </c>
      <c r="C204" s="45" t="s">
        <v>369</v>
      </c>
      <c r="D204" s="48" t="s">
        <v>29</v>
      </c>
      <c r="E204" s="124">
        <f t="shared" si="21"/>
        <v>10</v>
      </c>
      <c r="F204" s="50">
        <v>950</v>
      </c>
      <c r="G204" s="50">
        <f>E204*F204</f>
        <v>9500</v>
      </c>
      <c r="I204" s="110"/>
      <c r="J204" s="110"/>
      <c r="K204" s="65"/>
      <c r="L204" s="110"/>
      <c r="M204" s="117"/>
      <c r="N204" s="114">
        <v>10</v>
      </c>
      <c r="O204" s="117"/>
      <c r="P204" s="118"/>
      <c r="Q204" s="117"/>
      <c r="R204" s="117"/>
      <c r="S204" s="117"/>
      <c r="T204" s="117"/>
      <c r="U204" s="117"/>
      <c r="V204" s="117"/>
      <c r="W204" s="117"/>
      <c r="X204" s="117"/>
      <c r="Y204" s="117"/>
      <c r="Z204" s="117"/>
      <c r="AA204" s="117"/>
      <c r="AB204" s="117"/>
      <c r="AC204" s="117"/>
      <c r="AD204" s="117"/>
      <c r="AE204" s="117"/>
      <c r="AF204" s="117"/>
      <c r="AG204" s="117"/>
      <c r="AH204" s="117"/>
      <c r="AI204" s="117"/>
      <c r="AJ204" s="117"/>
      <c r="AK204" s="117"/>
      <c r="AL204" s="117"/>
      <c r="AM204" s="117"/>
      <c r="AN204" s="117"/>
      <c r="AO204" s="117"/>
      <c r="AP204" s="117"/>
      <c r="AQ204" s="117"/>
      <c r="AR204" s="117"/>
      <c r="AS204" s="117"/>
      <c r="AT204" s="117"/>
    </row>
    <row r="205" spans="1:46" s="109" customFormat="1" ht="55.2" x14ac:dyDescent="0.3">
      <c r="A205" s="1">
        <v>6</v>
      </c>
      <c r="B205" s="2" t="s">
        <v>289</v>
      </c>
      <c r="C205" s="45" t="s">
        <v>370</v>
      </c>
      <c r="D205" s="48" t="s">
        <v>29</v>
      </c>
      <c r="E205" s="124">
        <f t="shared" si="21"/>
        <v>1</v>
      </c>
      <c r="F205" s="50">
        <v>4500</v>
      </c>
      <c r="G205" s="50">
        <f>E205*F205</f>
        <v>4500</v>
      </c>
      <c r="I205" s="110"/>
      <c r="J205" s="110"/>
      <c r="K205" s="65"/>
      <c r="L205" s="110"/>
      <c r="M205" s="117"/>
      <c r="N205" s="114">
        <v>1</v>
      </c>
      <c r="O205" s="117"/>
      <c r="P205" s="118"/>
      <c r="Q205" s="117"/>
      <c r="R205" s="117"/>
      <c r="S205" s="117"/>
      <c r="T205" s="117"/>
      <c r="U205" s="117"/>
      <c r="V205" s="117"/>
      <c r="W205" s="117"/>
      <c r="X205" s="117"/>
      <c r="Y205" s="117"/>
      <c r="Z205" s="117"/>
      <c r="AA205" s="117"/>
      <c r="AB205" s="117"/>
      <c r="AC205" s="117"/>
      <c r="AD205" s="117"/>
      <c r="AE205" s="117"/>
      <c r="AF205" s="117"/>
      <c r="AG205" s="117"/>
      <c r="AH205" s="117"/>
      <c r="AI205" s="117"/>
      <c r="AJ205" s="117"/>
      <c r="AK205" s="117"/>
      <c r="AL205" s="117"/>
      <c r="AM205" s="117"/>
      <c r="AN205" s="117"/>
      <c r="AO205" s="117"/>
      <c r="AP205" s="117"/>
      <c r="AQ205" s="117"/>
      <c r="AR205" s="117"/>
      <c r="AS205" s="117"/>
      <c r="AT205" s="117"/>
    </row>
    <row r="206" spans="1:46" s="109" customFormat="1" ht="69" x14ac:dyDescent="0.3">
      <c r="A206" s="1">
        <v>6</v>
      </c>
      <c r="B206" s="2" t="s">
        <v>290</v>
      </c>
      <c r="C206" s="45" t="s">
        <v>371</v>
      </c>
      <c r="D206" s="48" t="s">
        <v>10</v>
      </c>
      <c r="E206" s="124">
        <f t="shared" si="21"/>
        <v>1</v>
      </c>
      <c r="F206" s="50">
        <v>3500</v>
      </c>
      <c r="G206" s="50">
        <f>E206*F206</f>
        <v>3500</v>
      </c>
      <c r="I206" s="110"/>
      <c r="J206" s="110"/>
      <c r="K206" s="65"/>
      <c r="L206" s="110"/>
      <c r="M206" s="117"/>
      <c r="N206" s="114">
        <v>1</v>
      </c>
      <c r="O206" s="117"/>
      <c r="P206" s="118"/>
      <c r="Q206" s="117"/>
      <c r="R206" s="117"/>
      <c r="S206" s="117"/>
      <c r="T206" s="117"/>
      <c r="U206" s="117"/>
      <c r="V206" s="117"/>
      <c r="W206" s="117"/>
      <c r="X206" s="117"/>
      <c r="Y206" s="117"/>
      <c r="Z206" s="117"/>
      <c r="AA206" s="117"/>
      <c r="AB206" s="117"/>
      <c r="AC206" s="117"/>
      <c r="AD206" s="117"/>
      <c r="AE206" s="117"/>
      <c r="AF206" s="117"/>
      <c r="AG206" s="117"/>
      <c r="AH206" s="117"/>
      <c r="AI206" s="117"/>
      <c r="AJ206" s="117"/>
      <c r="AK206" s="117"/>
      <c r="AL206" s="117"/>
      <c r="AM206" s="117"/>
      <c r="AN206" s="117"/>
      <c r="AO206" s="117"/>
      <c r="AP206" s="117"/>
      <c r="AQ206" s="117"/>
      <c r="AR206" s="117"/>
      <c r="AS206" s="117"/>
      <c r="AT206" s="117"/>
    </row>
    <row r="207" spans="1:46" s="109" customFormat="1" ht="55.2" x14ac:dyDescent="0.3">
      <c r="A207" s="1">
        <v>6</v>
      </c>
      <c r="B207" s="2" t="s">
        <v>291</v>
      </c>
      <c r="C207" s="45" t="s">
        <v>372</v>
      </c>
      <c r="D207" s="48" t="s">
        <v>10</v>
      </c>
      <c r="E207" s="124">
        <f t="shared" si="21"/>
        <v>1</v>
      </c>
      <c r="F207" s="50">
        <v>1000</v>
      </c>
      <c r="G207" s="50">
        <f>E207*F207</f>
        <v>1000</v>
      </c>
      <c r="I207" s="110"/>
      <c r="J207" s="110"/>
      <c r="K207" s="65"/>
      <c r="L207" s="110"/>
      <c r="M207" s="117"/>
      <c r="N207" s="114">
        <v>1</v>
      </c>
      <c r="O207" s="117"/>
      <c r="P207" s="118"/>
      <c r="Q207" s="117"/>
      <c r="R207" s="117"/>
      <c r="S207" s="117"/>
      <c r="T207" s="117"/>
      <c r="U207" s="117"/>
      <c r="V207" s="117"/>
      <c r="W207" s="117"/>
      <c r="X207" s="117"/>
      <c r="Y207" s="117"/>
      <c r="Z207" s="117"/>
      <c r="AA207" s="117"/>
      <c r="AB207" s="117"/>
      <c r="AC207" s="117"/>
      <c r="AD207" s="117"/>
      <c r="AE207" s="117"/>
      <c r="AF207" s="117"/>
      <c r="AG207" s="117"/>
      <c r="AH207" s="117"/>
      <c r="AI207" s="117"/>
      <c r="AJ207" s="117"/>
      <c r="AK207" s="117"/>
      <c r="AL207" s="117"/>
      <c r="AM207" s="117"/>
      <c r="AN207" s="117"/>
      <c r="AO207" s="117"/>
      <c r="AP207" s="117"/>
      <c r="AQ207" s="117"/>
      <c r="AR207" s="117"/>
      <c r="AS207" s="117"/>
      <c r="AT207" s="117"/>
    </row>
    <row r="208" spans="1:46" s="109" customFormat="1" ht="27.6" x14ac:dyDescent="0.3">
      <c r="A208" s="1">
        <v>6</v>
      </c>
      <c r="B208" s="2" t="s">
        <v>292</v>
      </c>
      <c r="C208" s="45" t="s">
        <v>373</v>
      </c>
      <c r="D208" s="48" t="s">
        <v>374</v>
      </c>
      <c r="E208" s="124">
        <f t="shared" si="21"/>
        <v>50</v>
      </c>
      <c r="F208" s="50">
        <v>25</v>
      </c>
      <c r="G208" s="50">
        <f>E208*F208</f>
        <v>1250</v>
      </c>
      <c r="I208" s="110"/>
      <c r="J208" s="110"/>
      <c r="K208" s="65"/>
      <c r="L208" s="110"/>
      <c r="M208" s="117"/>
      <c r="N208" s="114">
        <v>50</v>
      </c>
      <c r="O208" s="117"/>
      <c r="P208" s="118"/>
      <c r="Q208" s="117"/>
      <c r="R208" s="117"/>
      <c r="S208" s="117"/>
      <c r="T208" s="117"/>
      <c r="U208" s="117"/>
      <c r="V208" s="117"/>
      <c r="W208" s="117"/>
      <c r="X208" s="117"/>
      <c r="Y208" s="117"/>
      <c r="Z208" s="117"/>
      <c r="AA208" s="117"/>
      <c r="AB208" s="117"/>
      <c r="AC208" s="117"/>
      <c r="AD208" s="117"/>
      <c r="AE208" s="117"/>
      <c r="AF208" s="117"/>
      <c r="AG208" s="117"/>
      <c r="AH208" s="117"/>
      <c r="AI208" s="117"/>
      <c r="AJ208" s="117"/>
      <c r="AK208" s="117"/>
      <c r="AL208" s="117"/>
      <c r="AM208" s="117"/>
      <c r="AN208" s="117"/>
      <c r="AO208" s="117"/>
      <c r="AP208" s="117"/>
      <c r="AQ208" s="117"/>
      <c r="AR208" s="117"/>
      <c r="AS208" s="117"/>
      <c r="AT208" s="117"/>
    </row>
    <row r="209" spans="1:46" s="109" customFormat="1" ht="27.6" x14ac:dyDescent="0.3">
      <c r="A209" s="1">
        <v>6</v>
      </c>
      <c r="B209" s="2" t="s">
        <v>293</v>
      </c>
      <c r="C209" s="45" t="s">
        <v>375</v>
      </c>
      <c r="D209" s="48" t="s">
        <v>374</v>
      </c>
      <c r="E209" s="124">
        <f t="shared" si="21"/>
        <v>50</v>
      </c>
      <c r="F209" s="50">
        <v>9</v>
      </c>
      <c r="G209" s="50">
        <f t="shared" ref="G209:G248" si="22">E209*F209</f>
        <v>450</v>
      </c>
      <c r="I209" s="110"/>
      <c r="J209" s="110"/>
      <c r="K209" s="65"/>
      <c r="L209" s="110"/>
      <c r="M209" s="117"/>
      <c r="N209" s="114">
        <v>50</v>
      </c>
      <c r="O209" s="117"/>
      <c r="P209" s="118"/>
      <c r="Q209" s="117"/>
      <c r="R209" s="117"/>
      <c r="S209" s="117"/>
      <c r="T209" s="117"/>
      <c r="U209" s="117"/>
      <c r="V209" s="117"/>
      <c r="W209" s="117"/>
      <c r="X209" s="117"/>
      <c r="Y209" s="117"/>
      <c r="Z209" s="117"/>
      <c r="AA209" s="117"/>
      <c r="AB209" s="117"/>
      <c r="AC209" s="117"/>
      <c r="AD209" s="117"/>
      <c r="AE209" s="117"/>
      <c r="AF209" s="117"/>
      <c r="AG209" s="117"/>
      <c r="AH209" s="117"/>
      <c r="AI209" s="117"/>
      <c r="AJ209" s="117"/>
      <c r="AK209" s="117"/>
      <c r="AL209" s="117"/>
      <c r="AM209" s="117"/>
      <c r="AN209" s="117"/>
      <c r="AO209" s="117"/>
      <c r="AP209" s="117"/>
      <c r="AQ209" s="117"/>
      <c r="AR209" s="117"/>
      <c r="AS209" s="117"/>
      <c r="AT209" s="117"/>
    </row>
    <row r="210" spans="1:46" s="109" customFormat="1" ht="69" x14ac:dyDescent="0.3">
      <c r="A210" s="1">
        <v>6</v>
      </c>
      <c r="B210" s="2" t="s">
        <v>294</v>
      </c>
      <c r="C210" s="45" t="s">
        <v>376</v>
      </c>
      <c r="D210" s="48" t="s">
        <v>374</v>
      </c>
      <c r="E210" s="124">
        <f t="shared" si="21"/>
        <v>1250</v>
      </c>
      <c r="F210" s="50">
        <v>11</v>
      </c>
      <c r="G210" s="50">
        <f t="shared" si="22"/>
        <v>13750</v>
      </c>
      <c r="I210" s="110"/>
      <c r="J210" s="110"/>
      <c r="K210" s="65"/>
      <c r="L210" s="110"/>
      <c r="N210" s="53">
        <v>1250</v>
      </c>
      <c r="P210" s="111"/>
    </row>
    <row r="211" spans="1:46" s="109" customFormat="1" ht="110.4" x14ac:dyDescent="0.3">
      <c r="A211" s="1">
        <v>6</v>
      </c>
      <c r="B211" s="2" t="s">
        <v>295</v>
      </c>
      <c r="C211" s="45" t="s">
        <v>377</v>
      </c>
      <c r="D211" s="48" t="s">
        <v>374</v>
      </c>
      <c r="E211" s="124">
        <f t="shared" si="21"/>
        <v>125</v>
      </c>
      <c r="F211" s="50">
        <v>25</v>
      </c>
      <c r="G211" s="50">
        <f t="shared" si="22"/>
        <v>3125</v>
      </c>
      <c r="I211" s="110"/>
      <c r="J211" s="110"/>
      <c r="K211" s="126"/>
      <c r="L211" s="110"/>
      <c r="N211" s="53">
        <v>125</v>
      </c>
      <c r="P211" s="111"/>
    </row>
    <row r="212" spans="1:46" s="109" customFormat="1" ht="82.8" x14ac:dyDescent="0.3">
      <c r="A212" s="1">
        <v>6</v>
      </c>
      <c r="B212" s="2" t="s">
        <v>302</v>
      </c>
      <c r="C212" s="45" t="s">
        <v>378</v>
      </c>
      <c r="D212" s="48" t="s">
        <v>374</v>
      </c>
      <c r="E212" s="124">
        <f t="shared" ref="E212" si="23">SUM(H212:N212)</f>
        <v>20</v>
      </c>
      <c r="F212" s="50">
        <v>40</v>
      </c>
      <c r="G212" s="50">
        <f t="shared" ref="G212" si="24">E212*F212</f>
        <v>800</v>
      </c>
      <c r="I212" s="110"/>
      <c r="J212" s="110"/>
      <c r="K212" s="126"/>
      <c r="L212" s="110"/>
      <c r="N212" s="53">
        <v>20</v>
      </c>
      <c r="P212" s="111"/>
    </row>
    <row r="213" spans="1:46" s="109" customFormat="1" ht="82.8" x14ac:dyDescent="0.3">
      <c r="A213" s="1">
        <v>6</v>
      </c>
      <c r="B213" s="2" t="s">
        <v>303</v>
      </c>
      <c r="C213" s="45" t="s">
        <v>383</v>
      </c>
      <c r="D213" s="48" t="s">
        <v>374</v>
      </c>
      <c r="E213" s="124">
        <f t="shared" ref="E213:E238" si="25">SUM(H213:N213)</f>
        <v>20</v>
      </c>
      <c r="F213" s="50">
        <v>15</v>
      </c>
      <c r="G213" s="50">
        <f t="shared" ref="G213:G222" si="26">E213*F213</f>
        <v>300</v>
      </c>
      <c r="I213" s="110"/>
      <c r="J213" s="110"/>
      <c r="K213" s="126"/>
      <c r="L213" s="110"/>
      <c r="N213" s="53">
        <v>20</v>
      </c>
      <c r="P213" s="111"/>
    </row>
    <row r="214" spans="1:46" s="109" customFormat="1" ht="82.8" x14ac:dyDescent="0.3">
      <c r="A214" s="1">
        <v>6</v>
      </c>
      <c r="B214" s="2" t="s">
        <v>304</v>
      </c>
      <c r="C214" s="45" t="s">
        <v>384</v>
      </c>
      <c r="D214" s="48" t="s">
        <v>374</v>
      </c>
      <c r="E214" s="124">
        <f t="shared" si="25"/>
        <v>250</v>
      </c>
      <c r="F214" s="50">
        <v>12</v>
      </c>
      <c r="G214" s="50">
        <f t="shared" si="26"/>
        <v>3000</v>
      </c>
      <c r="I214" s="110"/>
      <c r="J214" s="110"/>
      <c r="K214" s="126"/>
      <c r="L214" s="110"/>
      <c r="N214" s="53">
        <v>250</v>
      </c>
      <c r="P214" s="111"/>
    </row>
    <row r="215" spans="1:46" s="109" customFormat="1" ht="13.8" x14ac:dyDescent="0.3">
      <c r="A215" s="1">
        <v>6</v>
      </c>
      <c r="B215" s="2" t="s">
        <v>305</v>
      </c>
      <c r="C215" s="45" t="s">
        <v>385</v>
      </c>
      <c r="D215" s="48" t="s">
        <v>374</v>
      </c>
      <c r="E215" s="124">
        <f t="shared" si="25"/>
        <v>750</v>
      </c>
      <c r="F215" s="50">
        <v>8</v>
      </c>
      <c r="G215" s="50">
        <f t="shared" si="26"/>
        <v>6000</v>
      </c>
      <c r="I215" s="110"/>
      <c r="J215" s="110"/>
      <c r="K215" s="126"/>
      <c r="L215" s="110"/>
      <c r="N215" s="53">
        <v>750</v>
      </c>
      <c r="P215" s="111"/>
    </row>
    <row r="216" spans="1:46" s="109" customFormat="1" ht="41.4" x14ac:dyDescent="0.3">
      <c r="A216" s="1">
        <v>6</v>
      </c>
      <c r="B216" s="2" t="s">
        <v>306</v>
      </c>
      <c r="C216" s="45" t="s">
        <v>386</v>
      </c>
      <c r="D216" s="48" t="s">
        <v>374</v>
      </c>
      <c r="E216" s="124">
        <f t="shared" si="25"/>
        <v>230</v>
      </c>
      <c r="F216" s="50">
        <v>8</v>
      </c>
      <c r="G216" s="50">
        <f t="shared" si="26"/>
        <v>1840</v>
      </c>
      <c r="I216" s="110"/>
      <c r="J216" s="110"/>
      <c r="K216" s="126"/>
      <c r="L216" s="110"/>
      <c r="N216" s="53">
        <v>230</v>
      </c>
      <c r="P216" s="111"/>
    </row>
    <row r="217" spans="1:46" s="109" customFormat="1" ht="27.6" x14ac:dyDescent="0.3">
      <c r="A217" s="1">
        <v>6</v>
      </c>
      <c r="B217" s="2" t="s">
        <v>307</v>
      </c>
      <c r="C217" s="45" t="s">
        <v>387</v>
      </c>
      <c r="D217" s="48" t="s">
        <v>29</v>
      </c>
      <c r="E217" s="124">
        <f t="shared" si="25"/>
        <v>10</v>
      </c>
      <c r="F217" s="50">
        <v>20</v>
      </c>
      <c r="G217" s="50">
        <f t="shared" si="26"/>
        <v>200</v>
      </c>
      <c r="I217" s="110"/>
      <c r="J217" s="110"/>
      <c r="K217" s="126"/>
      <c r="L217" s="110"/>
      <c r="N217" s="53">
        <v>10</v>
      </c>
      <c r="P217" s="111"/>
    </row>
    <row r="218" spans="1:46" s="109" customFormat="1" ht="13.8" x14ac:dyDescent="0.3">
      <c r="A218" s="1">
        <v>6</v>
      </c>
      <c r="B218" s="2" t="s">
        <v>379</v>
      </c>
      <c r="C218" s="45" t="s">
        <v>388</v>
      </c>
      <c r="D218" s="48" t="s">
        <v>374</v>
      </c>
      <c r="E218" s="124">
        <f t="shared" si="25"/>
        <v>750</v>
      </c>
      <c r="F218" s="50">
        <v>5</v>
      </c>
      <c r="G218" s="50">
        <f t="shared" si="26"/>
        <v>3750</v>
      </c>
      <c r="I218" s="110"/>
      <c r="J218" s="110"/>
      <c r="K218" s="126"/>
      <c r="L218" s="110"/>
      <c r="N218" s="53">
        <v>750</v>
      </c>
      <c r="P218" s="111"/>
    </row>
    <row r="219" spans="1:46" s="109" customFormat="1" ht="55.2" x14ac:dyDescent="0.3">
      <c r="A219" s="1">
        <v>6</v>
      </c>
      <c r="B219" s="2" t="s">
        <v>380</v>
      </c>
      <c r="C219" s="45" t="s">
        <v>389</v>
      </c>
      <c r="D219" s="48" t="s">
        <v>29</v>
      </c>
      <c r="E219" s="124">
        <f t="shared" si="25"/>
        <v>1</v>
      </c>
      <c r="F219" s="50">
        <v>500</v>
      </c>
      <c r="G219" s="50">
        <f t="shared" si="26"/>
        <v>500</v>
      </c>
      <c r="I219" s="110"/>
      <c r="J219" s="110"/>
      <c r="K219" s="126"/>
      <c r="L219" s="110"/>
      <c r="N219" s="53">
        <v>1</v>
      </c>
      <c r="P219" s="111"/>
    </row>
    <row r="220" spans="1:46" s="109" customFormat="1" ht="27.6" x14ac:dyDescent="0.3">
      <c r="A220" s="1">
        <v>6</v>
      </c>
      <c r="B220" s="2" t="s">
        <v>381</v>
      </c>
      <c r="C220" s="45" t="s">
        <v>390</v>
      </c>
      <c r="D220" s="48" t="s">
        <v>29</v>
      </c>
      <c r="E220" s="124">
        <f t="shared" si="25"/>
        <v>52</v>
      </c>
      <c r="F220" s="50">
        <v>50</v>
      </c>
      <c r="G220" s="50">
        <f t="shared" si="26"/>
        <v>2600</v>
      </c>
      <c r="I220" s="110"/>
      <c r="J220" s="110"/>
      <c r="K220" s="126"/>
      <c r="L220" s="110"/>
      <c r="N220" s="53">
        <v>52</v>
      </c>
      <c r="P220" s="111"/>
    </row>
    <row r="221" spans="1:46" s="109" customFormat="1" ht="55.2" x14ac:dyDescent="0.3">
      <c r="A221" s="1">
        <v>6</v>
      </c>
      <c r="B221" s="2" t="s">
        <v>382</v>
      </c>
      <c r="C221" s="45" t="s">
        <v>391</v>
      </c>
      <c r="D221" s="48" t="s">
        <v>29</v>
      </c>
      <c r="E221" s="124">
        <f t="shared" si="25"/>
        <v>52</v>
      </c>
      <c r="F221" s="50">
        <v>210</v>
      </c>
      <c r="G221" s="50">
        <f t="shared" si="26"/>
        <v>10920</v>
      </c>
      <c r="I221" s="110"/>
      <c r="J221" s="110"/>
      <c r="K221" s="126"/>
      <c r="L221" s="110"/>
      <c r="N221" s="53">
        <v>52</v>
      </c>
      <c r="P221" s="111"/>
    </row>
    <row r="222" spans="1:46" s="109" customFormat="1" ht="69" x14ac:dyDescent="0.3">
      <c r="A222" s="1">
        <v>6</v>
      </c>
      <c r="B222" s="2" t="s">
        <v>409</v>
      </c>
      <c r="C222" s="45" t="s">
        <v>392</v>
      </c>
      <c r="D222" s="48" t="s">
        <v>29</v>
      </c>
      <c r="E222" s="124">
        <f t="shared" si="25"/>
        <v>4</v>
      </c>
      <c r="F222" s="50">
        <v>500</v>
      </c>
      <c r="G222" s="50">
        <f t="shared" si="26"/>
        <v>2000</v>
      </c>
      <c r="I222" s="110"/>
      <c r="J222" s="110"/>
      <c r="K222" s="126"/>
      <c r="L222" s="110"/>
      <c r="N222" s="53">
        <v>4</v>
      </c>
      <c r="P222" s="111"/>
    </row>
    <row r="223" spans="1:46" s="109" customFormat="1" ht="148.5" customHeight="1" x14ac:dyDescent="0.3">
      <c r="A223" s="1">
        <v>6</v>
      </c>
      <c r="B223" s="2" t="s">
        <v>410</v>
      </c>
      <c r="C223" s="45" t="s">
        <v>393</v>
      </c>
      <c r="D223" s="48" t="s">
        <v>10</v>
      </c>
      <c r="E223" s="124">
        <f t="shared" si="25"/>
        <v>1</v>
      </c>
      <c r="F223" s="50">
        <v>4500</v>
      </c>
      <c r="G223" s="50">
        <f t="shared" ref="G223:G224" si="27">E223*F223</f>
        <v>4500</v>
      </c>
      <c r="I223" s="110"/>
      <c r="J223" s="110"/>
      <c r="K223" s="126"/>
      <c r="L223" s="110"/>
      <c r="N223" s="53">
        <v>1</v>
      </c>
      <c r="P223" s="111"/>
    </row>
    <row r="224" spans="1:46" s="109" customFormat="1" ht="41.4" x14ac:dyDescent="0.3">
      <c r="A224" s="1">
        <v>6</v>
      </c>
      <c r="B224" s="2" t="s">
        <v>411</v>
      </c>
      <c r="C224" s="45" t="s">
        <v>394</v>
      </c>
      <c r="D224" s="48" t="s">
        <v>10</v>
      </c>
      <c r="E224" s="124">
        <f t="shared" si="25"/>
        <v>3</v>
      </c>
      <c r="F224" s="50">
        <v>500</v>
      </c>
      <c r="G224" s="50">
        <f t="shared" si="27"/>
        <v>1500</v>
      </c>
      <c r="I224" s="110"/>
      <c r="J224" s="110"/>
      <c r="K224" s="126"/>
      <c r="L224" s="110"/>
      <c r="N224" s="53">
        <v>3</v>
      </c>
      <c r="P224" s="111"/>
    </row>
    <row r="225" spans="1:16" s="109" customFormat="1" ht="165.6" x14ac:dyDescent="0.3">
      <c r="A225" s="1">
        <v>6</v>
      </c>
      <c r="B225" s="2" t="s">
        <v>412</v>
      </c>
      <c r="C225" s="45" t="s">
        <v>395</v>
      </c>
      <c r="D225" s="48" t="s">
        <v>29</v>
      </c>
      <c r="E225" s="124">
        <f t="shared" si="25"/>
        <v>2</v>
      </c>
      <c r="F225" s="50">
        <v>16993.900000000001</v>
      </c>
      <c r="G225" s="50">
        <f t="shared" ref="G225:G228" si="28">E225*F225</f>
        <v>33987.800000000003</v>
      </c>
      <c r="I225" s="110"/>
      <c r="J225" s="110"/>
      <c r="K225" s="126"/>
      <c r="L225" s="110"/>
      <c r="N225" s="53">
        <v>2</v>
      </c>
      <c r="P225" s="111"/>
    </row>
    <row r="226" spans="1:16" s="109" customFormat="1" ht="41.4" x14ac:dyDescent="0.3">
      <c r="A226" s="1">
        <v>6</v>
      </c>
      <c r="B226" s="2" t="s">
        <v>413</v>
      </c>
      <c r="C226" s="45" t="s">
        <v>396</v>
      </c>
      <c r="D226" s="48" t="s">
        <v>29</v>
      </c>
      <c r="E226" s="124">
        <f t="shared" si="25"/>
        <v>4</v>
      </c>
      <c r="F226" s="50">
        <v>772</v>
      </c>
      <c r="G226" s="50">
        <f t="shared" si="28"/>
        <v>3088</v>
      </c>
      <c r="I226" s="110"/>
      <c r="J226" s="110"/>
      <c r="K226" s="126"/>
      <c r="L226" s="110"/>
      <c r="N226" s="53">
        <v>4</v>
      </c>
      <c r="P226" s="111"/>
    </row>
    <row r="227" spans="1:16" s="109" customFormat="1" ht="27.6" x14ac:dyDescent="0.3">
      <c r="A227" s="1">
        <v>6</v>
      </c>
      <c r="B227" s="2" t="s">
        <v>414</v>
      </c>
      <c r="C227" s="45" t="s">
        <v>397</v>
      </c>
      <c r="D227" s="48" t="s">
        <v>29</v>
      </c>
      <c r="E227" s="124">
        <f t="shared" si="25"/>
        <v>2</v>
      </c>
      <c r="F227" s="50">
        <v>572</v>
      </c>
      <c r="G227" s="50">
        <f t="shared" si="28"/>
        <v>1144</v>
      </c>
      <c r="I227" s="110"/>
      <c r="J227" s="110"/>
      <c r="K227" s="126"/>
      <c r="L227" s="110"/>
      <c r="N227" s="53">
        <v>2</v>
      </c>
      <c r="P227" s="111"/>
    </row>
    <row r="228" spans="1:16" s="109" customFormat="1" ht="27.6" x14ac:dyDescent="0.3">
      <c r="A228" s="1">
        <v>6</v>
      </c>
      <c r="B228" s="2" t="s">
        <v>415</v>
      </c>
      <c r="C228" s="45" t="s">
        <v>398</v>
      </c>
      <c r="D228" s="48" t="s">
        <v>10</v>
      </c>
      <c r="E228" s="124">
        <f t="shared" si="25"/>
        <v>2</v>
      </c>
      <c r="F228" s="50">
        <v>2500</v>
      </c>
      <c r="G228" s="50">
        <f t="shared" si="28"/>
        <v>5000</v>
      </c>
      <c r="I228" s="110"/>
      <c r="J228" s="110"/>
      <c r="K228" s="126"/>
      <c r="L228" s="110"/>
      <c r="N228" s="53">
        <v>2</v>
      </c>
      <c r="P228" s="111"/>
    </row>
    <row r="229" spans="1:16" s="109" customFormat="1" ht="13.8" x14ac:dyDescent="0.3">
      <c r="A229" s="1">
        <v>6</v>
      </c>
      <c r="B229" s="2" t="s">
        <v>416</v>
      </c>
      <c r="C229" s="45" t="s">
        <v>399</v>
      </c>
      <c r="D229" s="48" t="s">
        <v>29</v>
      </c>
      <c r="E229" s="124">
        <f t="shared" si="25"/>
        <v>2</v>
      </c>
      <c r="F229" s="50">
        <v>900</v>
      </c>
      <c r="G229" s="50">
        <f t="shared" ref="G229:G231" si="29">E229*F229</f>
        <v>1800</v>
      </c>
      <c r="I229" s="110"/>
      <c r="J229" s="110"/>
      <c r="K229" s="126"/>
      <c r="L229" s="110"/>
      <c r="N229" s="53">
        <v>2</v>
      </c>
      <c r="P229" s="111"/>
    </row>
    <row r="230" spans="1:16" s="109" customFormat="1" ht="13.8" x14ac:dyDescent="0.3">
      <c r="A230" s="1">
        <v>6</v>
      </c>
      <c r="B230" s="2" t="s">
        <v>417</v>
      </c>
      <c r="C230" s="45" t="s">
        <v>400</v>
      </c>
      <c r="D230" s="48" t="s">
        <v>29</v>
      </c>
      <c r="E230" s="124">
        <f t="shared" si="25"/>
        <v>6</v>
      </c>
      <c r="F230" s="50">
        <v>150</v>
      </c>
      <c r="G230" s="50">
        <f t="shared" si="29"/>
        <v>900</v>
      </c>
      <c r="I230" s="110"/>
      <c r="J230" s="110"/>
      <c r="K230" s="126"/>
      <c r="L230" s="110"/>
      <c r="N230" s="53">
        <v>6</v>
      </c>
      <c r="P230" s="111"/>
    </row>
    <row r="231" spans="1:16" s="109" customFormat="1" ht="69" x14ac:dyDescent="0.3">
      <c r="A231" s="1">
        <v>6</v>
      </c>
      <c r="B231" s="2" t="s">
        <v>418</v>
      </c>
      <c r="C231" s="45" t="s">
        <v>401</v>
      </c>
      <c r="D231" s="48" t="s">
        <v>29</v>
      </c>
      <c r="E231" s="124">
        <f t="shared" si="25"/>
        <v>1</v>
      </c>
      <c r="F231" s="50">
        <v>2500</v>
      </c>
      <c r="G231" s="50">
        <f t="shared" si="29"/>
        <v>2500</v>
      </c>
      <c r="I231" s="110"/>
      <c r="J231" s="110"/>
      <c r="K231" s="126"/>
      <c r="L231" s="110"/>
      <c r="N231" s="53">
        <v>1</v>
      </c>
      <c r="P231" s="111"/>
    </row>
    <row r="232" spans="1:16" s="109" customFormat="1" ht="27.6" x14ac:dyDescent="0.3">
      <c r="A232" s="1">
        <v>6</v>
      </c>
      <c r="B232" s="2" t="s">
        <v>419</v>
      </c>
      <c r="C232" s="45" t="s">
        <v>402</v>
      </c>
      <c r="D232" s="48" t="s">
        <v>29</v>
      </c>
      <c r="E232" s="124">
        <f t="shared" si="25"/>
        <v>1</v>
      </c>
      <c r="F232" s="50">
        <v>2500</v>
      </c>
      <c r="G232" s="50">
        <f t="shared" ref="G232:G233" si="30">E232*F232</f>
        <v>2500</v>
      </c>
      <c r="I232" s="110"/>
      <c r="J232" s="110"/>
      <c r="K232" s="126"/>
      <c r="L232" s="110"/>
      <c r="N232" s="53">
        <v>1</v>
      </c>
      <c r="P232" s="111"/>
    </row>
    <row r="233" spans="1:16" s="109" customFormat="1" ht="27.6" x14ac:dyDescent="0.3">
      <c r="A233" s="1">
        <v>6</v>
      </c>
      <c r="B233" s="2" t="s">
        <v>420</v>
      </c>
      <c r="C233" s="45" t="s">
        <v>403</v>
      </c>
      <c r="D233" s="48" t="s">
        <v>29</v>
      </c>
      <c r="E233" s="124">
        <f t="shared" si="25"/>
        <v>1</v>
      </c>
      <c r="F233" s="50">
        <v>700</v>
      </c>
      <c r="G233" s="50">
        <f t="shared" si="30"/>
        <v>700</v>
      </c>
      <c r="I233" s="110"/>
      <c r="J233" s="110"/>
      <c r="K233" s="126"/>
      <c r="L233" s="110"/>
      <c r="N233" s="53">
        <v>1</v>
      </c>
      <c r="P233" s="111"/>
    </row>
    <row r="234" spans="1:16" s="109" customFormat="1" ht="82.8" x14ac:dyDescent="0.3">
      <c r="A234" s="1">
        <v>6</v>
      </c>
      <c r="B234" s="2" t="s">
        <v>421</v>
      </c>
      <c r="C234" s="45" t="s">
        <v>404</v>
      </c>
      <c r="D234" s="48" t="s">
        <v>10</v>
      </c>
      <c r="E234" s="124">
        <f t="shared" si="25"/>
        <v>1</v>
      </c>
      <c r="F234" s="50">
        <v>700</v>
      </c>
      <c r="G234" s="50">
        <f t="shared" ref="G234:G237" si="31">E234*F234</f>
        <v>700</v>
      </c>
      <c r="I234" s="110"/>
      <c r="J234" s="110"/>
      <c r="K234" s="126"/>
      <c r="L234" s="110"/>
      <c r="N234" s="53">
        <v>1</v>
      </c>
      <c r="P234" s="111"/>
    </row>
    <row r="235" spans="1:16" s="109" customFormat="1" ht="124.2" x14ac:dyDescent="0.3">
      <c r="A235" s="1">
        <v>6</v>
      </c>
      <c r="B235" s="2" t="s">
        <v>422</v>
      </c>
      <c r="C235" s="45" t="s">
        <v>405</v>
      </c>
      <c r="D235" s="48" t="s">
        <v>374</v>
      </c>
      <c r="E235" s="124">
        <f t="shared" si="25"/>
        <v>100</v>
      </c>
      <c r="F235" s="50">
        <v>20</v>
      </c>
      <c r="G235" s="50">
        <f t="shared" si="31"/>
        <v>2000</v>
      </c>
      <c r="I235" s="110"/>
      <c r="J235" s="110"/>
      <c r="K235" s="126"/>
      <c r="L235" s="110"/>
      <c r="N235" s="53">
        <v>100</v>
      </c>
      <c r="P235" s="111"/>
    </row>
    <row r="236" spans="1:16" s="109" customFormat="1" ht="110.4" x14ac:dyDescent="0.3">
      <c r="A236" s="1">
        <v>6</v>
      </c>
      <c r="B236" s="2" t="s">
        <v>423</v>
      </c>
      <c r="C236" s="45" t="s">
        <v>406</v>
      </c>
      <c r="D236" s="48" t="s">
        <v>374</v>
      </c>
      <c r="E236" s="124">
        <f t="shared" si="25"/>
        <v>100</v>
      </c>
      <c r="F236" s="50">
        <v>20</v>
      </c>
      <c r="G236" s="50">
        <f t="shared" si="31"/>
        <v>2000</v>
      </c>
      <c r="I236" s="110"/>
      <c r="J236" s="110"/>
      <c r="K236" s="126"/>
      <c r="L236" s="110"/>
      <c r="N236" s="53">
        <v>100</v>
      </c>
      <c r="P236" s="111"/>
    </row>
    <row r="237" spans="1:16" s="109" customFormat="1" ht="41.4" x14ac:dyDescent="0.3">
      <c r="A237" s="1">
        <v>6</v>
      </c>
      <c r="B237" s="2" t="s">
        <v>424</v>
      </c>
      <c r="C237" s="45" t="s">
        <v>407</v>
      </c>
      <c r="D237" s="48" t="s">
        <v>374</v>
      </c>
      <c r="E237" s="124">
        <f t="shared" si="25"/>
        <v>150</v>
      </c>
      <c r="F237" s="50">
        <v>25</v>
      </c>
      <c r="G237" s="50">
        <f t="shared" si="31"/>
        <v>3750</v>
      </c>
      <c r="I237" s="110"/>
      <c r="J237" s="110"/>
      <c r="K237" s="126"/>
      <c r="L237" s="110"/>
      <c r="N237" s="53">
        <v>150</v>
      </c>
      <c r="P237" s="111"/>
    </row>
    <row r="238" spans="1:16" s="109" customFormat="1" ht="69" x14ac:dyDescent="0.3">
      <c r="A238" s="1">
        <v>6</v>
      </c>
      <c r="B238" s="2" t="s">
        <v>425</v>
      </c>
      <c r="C238" s="45" t="s">
        <v>408</v>
      </c>
      <c r="D238" s="48" t="s">
        <v>29</v>
      </c>
      <c r="E238" s="124">
        <f t="shared" si="25"/>
        <v>4</v>
      </c>
      <c r="F238" s="50">
        <v>950</v>
      </c>
      <c r="G238" s="50">
        <f t="shared" ref="G238:G242" si="32">E238*F238</f>
        <v>3800</v>
      </c>
      <c r="I238" s="110"/>
      <c r="J238" s="110"/>
      <c r="K238" s="126"/>
      <c r="L238" s="110"/>
      <c r="N238" s="53">
        <v>4</v>
      </c>
      <c r="P238" s="111"/>
    </row>
    <row r="239" spans="1:16" s="52" customFormat="1" ht="27.6" x14ac:dyDescent="0.3">
      <c r="A239" s="1">
        <v>1</v>
      </c>
      <c r="B239" s="2" t="s">
        <v>426</v>
      </c>
      <c r="C239" s="80" t="s">
        <v>390</v>
      </c>
      <c r="D239" s="123" t="s">
        <v>29</v>
      </c>
      <c r="E239" s="124">
        <f t="shared" ref="E239:E242" si="33">SUM(H239:N239)</f>
        <v>52</v>
      </c>
      <c r="F239" s="125">
        <v>50</v>
      </c>
      <c r="G239" s="125">
        <f t="shared" si="32"/>
        <v>2600</v>
      </c>
      <c r="H239" s="81"/>
      <c r="I239" s="40"/>
      <c r="J239" s="41"/>
      <c r="K239" s="126">
        <v>52</v>
      </c>
      <c r="L239" s="43"/>
      <c r="P239" s="14"/>
    </row>
    <row r="240" spans="1:16" s="52" customFormat="1" ht="55.2" x14ac:dyDescent="0.3">
      <c r="A240" s="1">
        <v>1</v>
      </c>
      <c r="B240" s="2" t="s">
        <v>427</v>
      </c>
      <c r="C240" s="80" t="s">
        <v>391</v>
      </c>
      <c r="D240" s="123" t="s">
        <v>29</v>
      </c>
      <c r="E240" s="124">
        <f t="shared" si="33"/>
        <v>52</v>
      </c>
      <c r="F240" s="125">
        <v>210</v>
      </c>
      <c r="G240" s="125">
        <f t="shared" si="32"/>
        <v>10920</v>
      </c>
      <c r="H240" s="81"/>
      <c r="I240" s="40"/>
      <c r="J240" s="41"/>
      <c r="K240" s="126">
        <v>52</v>
      </c>
      <c r="L240" s="43"/>
      <c r="P240" s="14"/>
    </row>
    <row r="241" spans="1:31" s="52" customFormat="1" ht="165.6" x14ac:dyDescent="0.3">
      <c r="A241" s="1">
        <v>1</v>
      </c>
      <c r="B241" s="2" t="s">
        <v>428</v>
      </c>
      <c r="C241" s="80" t="s">
        <v>432</v>
      </c>
      <c r="D241" s="123" t="s">
        <v>10</v>
      </c>
      <c r="E241" s="124">
        <f t="shared" si="33"/>
        <v>1</v>
      </c>
      <c r="F241" s="125">
        <v>4500</v>
      </c>
      <c r="G241" s="125">
        <f t="shared" si="32"/>
        <v>4500</v>
      </c>
      <c r="H241" s="81"/>
      <c r="I241" s="40"/>
      <c r="J241" s="41"/>
      <c r="K241" s="126">
        <v>1</v>
      </c>
      <c r="L241" s="43"/>
      <c r="P241" s="14"/>
    </row>
    <row r="242" spans="1:31" s="52" customFormat="1" ht="41.4" x14ac:dyDescent="0.3">
      <c r="A242" s="1">
        <v>1</v>
      </c>
      <c r="B242" s="2" t="s">
        <v>429</v>
      </c>
      <c r="C242" s="80" t="s">
        <v>394</v>
      </c>
      <c r="D242" s="123" t="s">
        <v>10</v>
      </c>
      <c r="E242" s="124">
        <f t="shared" si="33"/>
        <v>3</v>
      </c>
      <c r="F242" s="125">
        <v>500</v>
      </c>
      <c r="G242" s="125">
        <f t="shared" si="32"/>
        <v>1500</v>
      </c>
      <c r="H242" s="81"/>
      <c r="I242" s="40"/>
      <c r="J242" s="41"/>
      <c r="K242" s="126">
        <v>3</v>
      </c>
      <c r="L242" s="43"/>
      <c r="P242" s="14"/>
    </row>
    <row r="243" spans="1:31" s="52" customFormat="1" ht="110.4" x14ac:dyDescent="0.3">
      <c r="A243" s="1">
        <v>6</v>
      </c>
      <c r="B243" s="2" t="s">
        <v>430</v>
      </c>
      <c r="C243" s="80" t="s">
        <v>296</v>
      </c>
      <c r="D243" s="123" t="s">
        <v>10</v>
      </c>
      <c r="E243" s="124">
        <f t="shared" si="21"/>
        <v>1</v>
      </c>
      <c r="F243" s="125">
        <v>5000</v>
      </c>
      <c r="G243" s="125">
        <f t="shared" si="22"/>
        <v>5000</v>
      </c>
      <c r="H243" s="81"/>
      <c r="I243" s="40"/>
      <c r="J243" s="41"/>
      <c r="K243" s="126">
        <v>1</v>
      </c>
      <c r="L243" s="43"/>
      <c r="P243" s="14"/>
      <c r="AE243" s="14"/>
    </row>
    <row r="244" spans="1:31" s="52" customFormat="1" ht="96.6" x14ac:dyDescent="0.3">
      <c r="A244" s="1">
        <v>6</v>
      </c>
      <c r="B244" s="2" t="s">
        <v>431</v>
      </c>
      <c r="C244" s="80" t="s">
        <v>297</v>
      </c>
      <c r="D244" s="123" t="s">
        <v>10</v>
      </c>
      <c r="E244" s="124">
        <f t="shared" si="21"/>
        <v>1</v>
      </c>
      <c r="F244" s="125">
        <v>1300</v>
      </c>
      <c r="G244" s="125">
        <f t="shared" si="22"/>
        <v>1300</v>
      </c>
      <c r="H244" s="81"/>
      <c r="I244" s="40"/>
      <c r="J244" s="41"/>
      <c r="K244" s="126">
        <v>1</v>
      </c>
      <c r="L244" s="43"/>
      <c r="P244" s="14"/>
    </row>
    <row r="245" spans="1:31" s="52" customFormat="1" ht="69" x14ac:dyDescent="0.3">
      <c r="A245" s="1">
        <v>6</v>
      </c>
      <c r="B245" s="2" t="s">
        <v>433</v>
      </c>
      <c r="C245" s="80" t="s">
        <v>298</v>
      </c>
      <c r="D245" s="123" t="s">
        <v>10</v>
      </c>
      <c r="E245" s="124">
        <f t="shared" si="21"/>
        <v>1</v>
      </c>
      <c r="F245" s="125">
        <v>1200</v>
      </c>
      <c r="G245" s="125">
        <f t="shared" si="22"/>
        <v>1200</v>
      </c>
      <c r="H245" s="81"/>
      <c r="I245" s="40"/>
      <c r="J245" s="41"/>
      <c r="K245" s="126">
        <v>1</v>
      </c>
      <c r="L245" s="43"/>
      <c r="P245" s="14"/>
    </row>
    <row r="246" spans="1:31" s="52" customFormat="1" ht="69" x14ac:dyDescent="0.3">
      <c r="A246" s="1">
        <v>6</v>
      </c>
      <c r="B246" s="2" t="s">
        <v>434</v>
      </c>
      <c r="C246" s="80" t="s">
        <v>299</v>
      </c>
      <c r="D246" s="123" t="s">
        <v>10</v>
      </c>
      <c r="E246" s="124">
        <f t="shared" si="21"/>
        <v>1</v>
      </c>
      <c r="F246" s="125">
        <v>3000</v>
      </c>
      <c r="G246" s="125">
        <f t="shared" si="22"/>
        <v>3000</v>
      </c>
      <c r="H246" s="81"/>
      <c r="I246" s="40"/>
      <c r="J246" s="41"/>
      <c r="K246" s="126">
        <v>1</v>
      </c>
      <c r="L246" s="43"/>
      <c r="P246" s="14"/>
    </row>
    <row r="247" spans="1:31" s="52" customFormat="1" ht="69" x14ac:dyDescent="0.3">
      <c r="A247" s="1">
        <v>6</v>
      </c>
      <c r="B247" s="2" t="s">
        <v>435</v>
      </c>
      <c r="C247" s="80" t="s">
        <v>300</v>
      </c>
      <c r="D247" s="123" t="s">
        <v>10</v>
      </c>
      <c r="E247" s="124">
        <f t="shared" si="21"/>
        <v>1</v>
      </c>
      <c r="F247" s="125">
        <v>2000</v>
      </c>
      <c r="G247" s="125">
        <f t="shared" si="22"/>
        <v>2000</v>
      </c>
      <c r="H247" s="81"/>
      <c r="I247" s="40"/>
      <c r="J247" s="41"/>
      <c r="K247" s="126">
        <v>1</v>
      </c>
      <c r="L247" s="43"/>
      <c r="P247" s="14"/>
    </row>
    <row r="248" spans="1:31" s="52" customFormat="1" ht="69" x14ac:dyDescent="0.3">
      <c r="A248" s="1">
        <v>6</v>
      </c>
      <c r="B248" s="2" t="s">
        <v>436</v>
      </c>
      <c r="C248" s="80" t="s">
        <v>301</v>
      </c>
      <c r="D248" s="123" t="s">
        <v>10</v>
      </c>
      <c r="E248" s="124">
        <f t="shared" si="21"/>
        <v>1</v>
      </c>
      <c r="F248" s="125">
        <v>16000</v>
      </c>
      <c r="G248" s="125">
        <f t="shared" si="22"/>
        <v>16000</v>
      </c>
      <c r="H248" s="81"/>
      <c r="I248" s="40"/>
      <c r="J248" s="41"/>
      <c r="K248" s="126">
        <v>1</v>
      </c>
      <c r="L248" s="43"/>
    </row>
    <row r="249" spans="1:31" x14ac:dyDescent="0.3">
      <c r="A249" s="28" t="s">
        <v>97</v>
      </c>
      <c r="B249" s="29"/>
      <c r="C249" s="46" t="s">
        <v>95</v>
      </c>
      <c r="D249" s="31"/>
      <c r="E249" s="32"/>
      <c r="F249" s="33"/>
      <c r="G249" s="33"/>
      <c r="H249" s="63"/>
      <c r="I249" s="60"/>
      <c r="J249" s="42"/>
      <c r="K249" s="126"/>
      <c r="L249" s="68"/>
      <c r="M249" s="70"/>
      <c r="N249" s="51"/>
      <c r="O249" s="52"/>
      <c r="P249" s="52"/>
      <c r="Q249" s="52"/>
    </row>
    <row r="250" spans="1:31" ht="96.6" x14ac:dyDescent="0.3">
      <c r="A250" s="1">
        <v>7</v>
      </c>
      <c r="B250" s="2" t="s">
        <v>8</v>
      </c>
      <c r="C250" s="45" t="s">
        <v>96</v>
      </c>
      <c r="D250" s="123" t="s">
        <v>18</v>
      </c>
      <c r="E250" s="124">
        <f>SUM(H250:N250)</f>
        <v>6.15</v>
      </c>
      <c r="F250" s="125">
        <v>450</v>
      </c>
      <c r="G250" s="125">
        <f>E250*F250</f>
        <v>2767.5</v>
      </c>
      <c r="H250" s="63"/>
      <c r="I250" s="60"/>
      <c r="J250" s="42"/>
      <c r="K250" s="126"/>
      <c r="L250" s="68"/>
      <c r="M250" s="70"/>
      <c r="N250" s="51">
        <v>6.15</v>
      </c>
      <c r="O250" s="52"/>
      <c r="P250" s="52"/>
      <c r="Q250" s="52"/>
    </row>
    <row r="251" spans="1:31" x14ac:dyDescent="0.3">
      <c r="A251" s="28" t="s">
        <v>102</v>
      </c>
      <c r="B251" s="29"/>
      <c r="C251" s="46" t="s">
        <v>98</v>
      </c>
      <c r="D251" s="31"/>
      <c r="E251" s="32"/>
      <c r="F251" s="33"/>
      <c r="G251" s="33"/>
      <c r="H251" s="63"/>
      <c r="I251" s="60"/>
      <c r="J251" s="42"/>
      <c r="K251" s="126"/>
      <c r="L251" s="68"/>
      <c r="M251" s="70"/>
      <c r="N251" s="51"/>
      <c r="O251" s="52"/>
      <c r="P251" s="52"/>
      <c r="Q251" s="52"/>
    </row>
    <row r="252" spans="1:31" ht="207" x14ac:dyDescent="0.3">
      <c r="A252" s="1">
        <v>8</v>
      </c>
      <c r="B252" s="2" t="s">
        <v>8</v>
      </c>
      <c r="C252" s="45" t="s">
        <v>99</v>
      </c>
      <c r="D252" s="123" t="s">
        <v>25</v>
      </c>
      <c r="E252" s="124">
        <f>SUM(H252:N252)</f>
        <v>22.509999999999998</v>
      </c>
      <c r="F252" s="125">
        <f>O252</f>
        <v>558</v>
      </c>
      <c r="G252" s="125">
        <f>$E252*$F252</f>
        <v>12560.579999999998</v>
      </c>
      <c r="H252" s="63"/>
      <c r="I252" s="60"/>
      <c r="J252" s="42">
        <f>5.76+7.68+7.68</f>
        <v>21.119999999999997</v>
      </c>
      <c r="K252" s="126"/>
      <c r="L252" s="68"/>
      <c r="M252" s="70"/>
      <c r="N252" s="51">
        <v>1.39</v>
      </c>
      <c r="O252" s="52">
        <f>258+50+250</f>
        <v>558</v>
      </c>
      <c r="P252" s="52"/>
      <c r="Q252" s="52">
        <v>360</v>
      </c>
    </row>
    <row r="253" spans="1:31" ht="151.80000000000001" x14ac:dyDescent="0.3">
      <c r="A253" s="1">
        <v>8</v>
      </c>
      <c r="B253" s="2" t="s">
        <v>11</v>
      </c>
      <c r="C253" s="45" t="s">
        <v>100</v>
      </c>
      <c r="D253" s="123" t="s">
        <v>25</v>
      </c>
      <c r="E253" s="124">
        <f>SUM(H253:N253)</f>
        <v>151.91</v>
      </c>
      <c r="F253" s="125">
        <v>168</v>
      </c>
      <c r="G253" s="125">
        <f t="shared" ref="G253:G254" si="34">$E253*$F253</f>
        <v>25520.880000000001</v>
      </c>
      <c r="H253" s="63">
        <v>113.25</v>
      </c>
      <c r="I253" s="60">
        <v>16.149999999999999</v>
      </c>
      <c r="J253" s="42">
        <v>21.12</v>
      </c>
      <c r="K253" s="126"/>
      <c r="L253" s="68"/>
      <c r="M253" s="70"/>
      <c r="N253" s="51">
        <v>1.39</v>
      </c>
      <c r="O253" s="52">
        <f>168+90</f>
        <v>258</v>
      </c>
      <c r="P253" s="52"/>
      <c r="Q253" s="52">
        <v>170</v>
      </c>
    </row>
    <row r="254" spans="1:31" ht="138" x14ac:dyDescent="0.3">
      <c r="A254" s="1">
        <v>8</v>
      </c>
      <c r="B254" s="2" t="s">
        <v>13</v>
      </c>
      <c r="C254" s="45" t="s">
        <v>101</v>
      </c>
      <c r="D254" s="123" t="s">
        <v>25</v>
      </c>
      <c r="E254" s="124">
        <f>SUM(H254:N254)</f>
        <v>2858.4</v>
      </c>
      <c r="F254" s="44">
        <v>55</v>
      </c>
      <c r="G254" s="125">
        <f t="shared" si="34"/>
        <v>157212</v>
      </c>
      <c r="H254" s="63">
        <v>1815</v>
      </c>
      <c r="I254" s="60">
        <v>1043.4000000000001</v>
      </c>
      <c r="J254" s="42"/>
      <c r="K254" s="126"/>
      <c r="L254" s="68"/>
      <c r="M254" s="70"/>
      <c r="N254" s="51"/>
      <c r="O254" s="52">
        <f>168+90</f>
        <v>258</v>
      </c>
      <c r="P254" s="52"/>
      <c r="Q254" s="52">
        <v>170</v>
      </c>
    </row>
    <row r="255" spans="1:31" x14ac:dyDescent="0.3">
      <c r="A255" s="28" t="s">
        <v>105</v>
      </c>
      <c r="B255" s="29"/>
      <c r="C255" s="46" t="s">
        <v>103</v>
      </c>
      <c r="D255" s="31"/>
      <c r="E255" s="32"/>
      <c r="F255" s="33"/>
      <c r="G255" s="33"/>
      <c r="H255" s="63"/>
      <c r="I255" s="60"/>
      <c r="J255" s="42"/>
      <c r="K255" s="126"/>
      <c r="L255" s="68"/>
      <c r="M255" s="70"/>
      <c r="N255" s="51"/>
      <c r="O255" s="52"/>
      <c r="P255" s="52"/>
      <c r="Q255" s="52"/>
    </row>
    <row r="256" spans="1:31" ht="82.8" x14ac:dyDescent="0.3">
      <c r="A256" s="1">
        <v>9</v>
      </c>
      <c r="B256" s="2" t="s">
        <v>8</v>
      </c>
      <c r="C256" s="45" t="s">
        <v>104</v>
      </c>
      <c r="D256" s="48" t="s">
        <v>25</v>
      </c>
      <c r="E256" s="49">
        <f>SUM(H256:N256)</f>
        <v>15.82</v>
      </c>
      <c r="F256" s="50">
        <v>430</v>
      </c>
      <c r="G256" s="50">
        <f>$E256*$F256</f>
        <v>6802.6</v>
      </c>
      <c r="H256" s="63"/>
      <c r="I256" s="60"/>
      <c r="J256" s="42">
        <f>5.51+5.51+4.8</f>
        <v>15.82</v>
      </c>
      <c r="K256" s="126"/>
      <c r="L256" s="68"/>
      <c r="M256" s="70"/>
      <c r="N256" s="51"/>
      <c r="O256" s="53"/>
      <c r="P256" s="53"/>
      <c r="Q256" s="53"/>
    </row>
    <row r="257" spans="1:17" x14ac:dyDescent="0.3">
      <c r="A257" s="28" t="s">
        <v>117</v>
      </c>
      <c r="B257" s="29"/>
      <c r="C257" s="46" t="s">
        <v>106</v>
      </c>
      <c r="D257" s="31"/>
      <c r="E257" s="32"/>
      <c r="F257" s="33"/>
      <c r="G257" s="33"/>
      <c r="H257" s="63"/>
      <c r="I257" s="60"/>
      <c r="J257" s="42"/>
      <c r="K257" s="126"/>
      <c r="L257" s="68"/>
      <c r="M257" s="70"/>
      <c r="N257" s="51"/>
      <c r="O257" s="52"/>
      <c r="P257" s="52"/>
      <c r="Q257" s="52"/>
    </row>
    <row r="258" spans="1:17" ht="193.2" x14ac:dyDescent="0.3">
      <c r="A258" s="1">
        <v>10</v>
      </c>
      <c r="B258" s="2" t="s">
        <v>8</v>
      </c>
      <c r="C258" s="3" t="s">
        <v>441</v>
      </c>
      <c r="D258" s="123" t="s">
        <v>25</v>
      </c>
      <c r="E258" s="124">
        <f>SUM(H258:N258)</f>
        <v>1057.77</v>
      </c>
      <c r="F258" s="125">
        <v>84</v>
      </c>
      <c r="G258" s="125">
        <f>$E258*$F258</f>
        <v>88852.68</v>
      </c>
      <c r="H258" s="63">
        <f>329.25+12.44</f>
        <v>341.69</v>
      </c>
      <c r="I258" s="60">
        <v>459.65</v>
      </c>
      <c r="J258" s="42">
        <f>46.18+50.34+50.05</f>
        <v>146.57</v>
      </c>
      <c r="K258" s="126"/>
      <c r="L258" s="68"/>
      <c r="M258" s="70"/>
      <c r="N258" s="51">
        <f>9.6+9+17.66+11.36+10.36+12.04+12.44+7.64+19.76</f>
        <v>109.86000000000001</v>
      </c>
      <c r="O258" s="52">
        <v>80</v>
      </c>
      <c r="P258" s="52"/>
      <c r="Q258" s="52">
        <v>60</v>
      </c>
    </row>
    <row r="259" spans="1:17" x14ac:dyDescent="0.3">
      <c r="A259" s="34"/>
      <c r="B259" s="74"/>
      <c r="C259" s="75"/>
      <c r="D259" s="129"/>
      <c r="E259" s="131"/>
      <c r="F259" s="125" t="s">
        <v>19</v>
      </c>
      <c r="G259" s="125">
        <f>SUM(G49:G258)</f>
        <v>3298502.142</v>
      </c>
      <c r="H259" s="63"/>
      <c r="I259" s="60"/>
      <c r="J259" s="42"/>
      <c r="K259" s="126"/>
      <c r="L259" s="68"/>
      <c r="M259" s="70"/>
      <c r="N259" s="51"/>
      <c r="O259" s="52"/>
      <c r="P259" s="52"/>
      <c r="Q259" s="52"/>
    </row>
    <row r="260" spans="1:17" x14ac:dyDescent="0.3">
      <c r="A260" s="76"/>
      <c r="B260" s="35"/>
      <c r="C260" s="77"/>
      <c r="D260" s="78"/>
      <c r="E260" s="79"/>
      <c r="F260" s="125" t="s">
        <v>20</v>
      </c>
      <c r="G260" s="125">
        <f>G259*0.25</f>
        <v>824625.5355</v>
      </c>
      <c r="H260" s="63"/>
      <c r="I260" s="60"/>
      <c r="J260" s="42"/>
      <c r="K260" s="126"/>
      <c r="L260" s="68"/>
      <c r="M260" s="70"/>
      <c r="N260" s="51"/>
      <c r="O260" s="52"/>
      <c r="P260" s="52"/>
      <c r="Q260" s="52"/>
    </row>
    <row r="261" spans="1:17" x14ac:dyDescent="0.3">
      <c r="A261" s="76"/>
      <c r="B261" s="35"/>
      <c r="C261" s="77"/>
      <c r="D261" s="78"/>
      <c r="E261" s="79"/>
      <c r="F261" s="13" t="s">
        <v>21</v>
      </c>
      <c r="G261" s="125">
        <f>SUM(G259:G260)</f>
        <v>4123127.6775000002</v>
      </c>
      <c r="H261" s="63"/>
      <c r="I261" s="60"/>
      <c r="J261" s="42"/>
      <c r="K261" s="126"/>
      <c r="L261" s="68"/>
      <c r="M261" s="70"/>
      <c r="N261" s="51"/>
      <c r="O261" s="52"/>
      <c r="P261" s="52"/>
      <c r="Q261" s="52"/>
    </row>
  </sheetData>
  <mergeCells count="14">
    <mergeCell ref="A23:G23"/>
    <mergeCell ref="A148:A149"/>
    <mergeCell ref="B148:B149"/>
    <mergeCell ref="D148:D149"/>
    <mergeCell ref="E148:E149"/>
    <mergeCell ref="F148:F149"/>
    <mergeCell ref="G148:G149"/>
    <mergeCell ref="K148:K149"/>
    <mergeCell ref="A161:A162"/>
    <mergeCell ref="B161:B162"/>
    <mergeCell ref="D161:D162"/>
    <mergeCell ref="E161:E162"/>
    <mergeCell ref="F161:F162"/>
    <mergeCell ref="G161:G162"/>
  </mergeCells>
  <phoneticPr fontId="8" type="noConversion"/>
  <pageMargins left="0.98425196850393704" right="0.39370078740157483" top="1.1811023622047245" bottom="0.78740157480314965" header="0.39370078740157483" footer="0.39370078740157483"/>
  <pageSetup paperSize="9" scale="96" orientation="portrait" r:id="rId1"/>
  <headerFooter>
    <oddHeader>&amp;L&amp;G&amp;R&amp;G</oddHeader>
    <oddFooter xml:space="preserve">&amp;L&amp;"-,Bold"&amp;9TROŠKOVNIK &amp;A&amp;"-,Regular"     &amp;KFF0000 &amp;K000000GRAĐEVINSKI PROJEKT - PROJEKT POPRAVKA GRAĐEVINSKE KONSTRUKCIJE     GPP-13/21&amp;R&amp;"-,Bold"&amp;9&amp;P/&amp;N   </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1EBF-A269-40EC-8D5F-F3F8983FB080}">
  <sheetPr codeName="Sheet14"/>
  <dimension ref="A23:AT232"/>
  <sheetViews>
    <sheetView topLeftCell="A227" zoomScale="85" zoomScaleNormal="85" workbookViewId="0">
      <selection activeCell="M242" sqref="M242"/>
    </sheetView>
  </sheetViews>
  <sheetFormatPr defaultRowHeight="14.4" x14ac:dyDescent="0.3"/>
  <cols>
    <col min="1" max="1" width="3.6640625" style="8" customWidth="1"/>
    <col min="2" max="2" width="3.6640625" style="9" customWidth="1"/>
    <col min="3" max="3" width="40.6640625" style="10" customWidth="1"/>
    <col min="4" max="4" width="7.6640625" style="11" customWidth="1"/>
    <col min="5" max="5" width="8.6640625" style="12" customWidth="1"/>
    <col min="6" max="6" width="12.6640625" style="14" customWidth="1"/>
    <col min="7" max="7" width="13.6640625" style="14" customWidth="1"/>
    <col min="8" max="8" width="8.88671875" style="61" bestFit="1" customWidth="1"/>
    <col min="9" max="9" width="11" style="58" bestFit="1" customWidth="1"/>
    <col min="10" max="10" width="8.88671875" style="57" bestFit="1" customWidth="1"/>
    <col min="11" max="11" width="8.88671875" style="96" customWidth="1"/>
    <col min="12" max="12" width="8.88671875" style="72" customWidth="1"/>
    <col min="13" max="13" width="8.88671875" style="73" customWidth="1"/>
    <col min="14" max="14" width="8.88671875" style="55" bestFit="1" customWidth="1"/>
    <col min="15" max="15" width="12" hidden="1" customWidth="1"/>
    <col min="16" max="16" width="5" hidden="1" customWidth="1"/>
    <col min="17" max="17" width="11.33203125" hidden="1" customWidth="1"/>
    <col min="26" max="26" width="11.109375" bestFit="1" customWidth="1"/>
  </cols>
  <sheetData>
    <row r="23" spans="1:7" ht="71.25" customHeight="1" x14ac:dyDescent="0.3">
      <c r="A23" s="287" t="s">
        <v>139</v>
      </c>
      <c r="B23" s="288"/>
      <c r="C23" s="288"/>
      <c r="D23" s="288"/>
      <c r="E23" s="288"/>
      <c r="F23" s="288"/>
      <c r="G23" s="288"/>
    </row>
    <row r="47" spans="1:17" ht="41.4" x14ac:dyDescent="0.3">
      <c r="A47" s="15" t="s">
        <v>0</v>
      </c>
      <c r="B47" s="16"/>
      <c r="C47" s="17" t="s">
        <v>1</v>
      </c>
      <c r="D47" s="18" t="s">
        <v>2</v>
      </c>
      <c r="E47" s="19" t="s">
        <v>3</v>
      </c>
      <c r="F47" s="20" t="s">
        <v>4</v>
      </c>
      <c r="G47" s="21" t="s">
        <v>5</v>
      </c>
      <c r="H47" s="62" t="s">
        <v>110</v>
      </c>
      <c r="I47" s="59" t="s">
        <v>111</v>
      </c>
      <c r="J47" s="54" t="s">
        <v>112</v>
      </c>
      <c r="K47" s="97" t="s">
        <v>114</v>
      </c>
      <c r="L47" s="67" t="s">
        <v>115</v>
      </c>
      <c r="M47" s="69" t="s">
        <v>116</v>
      </c>
      <c r="N47" s="56" t="s">
        <v>113</v>
      </c>
      <c r="O47" s="52" t="s">
        <v>107</v>
      </c>
      <c r="P47" s="52" t="s">
        <v>108</v>
      </c>
      <c r="Q47" s="52" t="s">
        <v>109</v>
      </c>
    </row>
    <row r="48" spans="1:17" x14ac:dyDescent="0.3">
      <c r="A48" s="15"/>
      <c r="B48" s="16"/>
      <c r="C48" s="17"/>
      <c r="D48" s="18"/>
      <c r="E48" s="19"/>
      <c r="F48" s="20"/>
      <c r="G48" s="21"/>
      <c r="H48" s="62"/>
      <c r="I48" s="59"/>
      <c r="J48" s="54"/>
      <c r="K48" s="97"/>
      <c r="L48" s="67"/>
      <c r="M48" s="69"/>
      <c r="N48" s="56"/>
      <c r="O48" s="52"/>
      <c r="P48" s="52"/>
      <c r="Q48" s="52"/>
    </row>
    <row r="49" spans="1:17" x14ac:dyDescent="0.3">
      <c r="A49" s="28" t="s">
        <v>6</v>
      </c>
      <c r="B49" s="29"/>
      <c r="C49" s="30" t="s">
        <v>7</v>
      </c>
      <c r="D49" s="31"/>
      <c r="E49" s="32"/>
      <c r="F49" s="33"/>
      <c r="G49" s="33"/>
    </row>
    <row r="50" spans="1:17" ht="331.2" x14ac:dyDescent="0.3">
      <c r="A50" s="1">
        <v>1</v>
      </c>
      <c r="B50" s="2" t="s">
        <v>8</v>
      </c>
      <c r="C50" s="3" t="s">
        <v>22</v>
      </c>
      <c r="D50" s="95" t="s">
        <v>10</v>
      </c>
      <c r="E50" s="94">
        <v>1</v>
      </c>
      <c r="F50" s="93">
        <f>SUM(H50:N50)</f>
        <v>25000</v>
      </c>
      <c r="G50" s="93">
        <f t="shared" ref="G50:G68" si="0">$E50*$F50</f>
        <v>25000</v>
      </c>
      <c r="H50" s="63">
        <v>8000</v>
      </c>
      <c r="I50" s="60">
        <v>8000</v>
      </c>
      <c r="J50" s="42">
        <v>6000</v>
      </c>
      <c r="K50" s="100"/>
      <c r="L50" s="68"/>
      <c r="M50" s="70"/>
      <c r="N50" s="51">
        <v>3000</v>
      </c>
      <c r="O50" s="52"/>
      <c r="P50" s="52"/>
      <c r="Q50" s="52"/>
    </row>
    <row r="51" spans="1:17" ht="220.8" x14ac:dyDescent="0.3">
      <c r="A51" s="1">
        <v>1</v>
      </c>
      <c r="B51" s="2" t="s">
        <v>11</v>
      </c>
      <c r="C51" s="3" t="s">
        <v>23</v>
      </c>
      <c r="D51" s="95" t="s">
        <v>10</v>
      </c>
      <c r="E51" s="94">
        <v>1</v>
      </c>
      <c r="F51" s="93">
        <f>SUM(H51:N51)</f>
        <v>155000</v>
      </c>
      <c r="G51" s="93">
        <f t="shared" si="0"/>
        <v>155000</v>
      </c>
      <c r="H51" s="63">
        <v>65000</v>
      </c>
      <c r="I51" s="60">
        <v>55000</v>
      </c>
      <c r="J51" s="42">
        <v>20000</v>
      </c>
      <c r="K51" s="100"/>
      <c r="L51" s="68"/>
      <c r="M51" s="70"/>
      <c r="N51" s="51">
        <v>15000</v>
      </c>
      <c r="O51" s="52"/>
      <c r="P51" s="52"/>
      <c r="Q51" s="52"/>
    </row>
    <row r="52" spans="1:17" ht="138" x14ac:dyDescent="0.3">
      <c r="A52" s="1">
        <v>1</v>
      </c>
      <c r="B52" s="2" t="s">
        <v>13</v>
      </c>
      <c r="C52" s="3" t="s">
        <v>24</v>
      </c>
      <c r="D52" s="95" t="s">
        <v>25</v>
      </c>
      <c r="E52" s="94">
        <f t="shared" ref="E52:E69" si="1">SUM(H52:N52)</f>
        <v>2902.4</v>
      </c>
      <c r="F52" s="93">
        <v>200</v>
      </c>
      <c r="G52" s="93">
        <f t="shared" si="0"/>
        <v>580480</v>
      </c>
      <c r="H52" s="63">
        <f>165*11</f>
        <v>1815</v>
      </c>
      <c r="I52" s="60">
        <f>111*9.4</f>
        <v>1043.4000000000001</v>
      </c>
      <c r="J52" s="42">
        <f>4*11</f>
        <v>44</v>
      </c>
      <c r="K52" s="100"/>
      <c r="L52" s="68"/>
      <c r="M52" s="70"/>
      <c r="N52" s="51"/>
      <c r="O52" s="52"/>
      <c r="P52" s="52"/>
      <c r="Q52" s="52"/>
    </row>
    <row r="53" spans="1:17" ht="179.4" x14ac:dyDescent="0.3">
      <c r="A53" s="1">
        <v>1</v>
      </c>
      <c r="B53" s="2" t="s">
        <v>26</v>
      </c>
      <c r="C53" s="3" t="s">
        <v>27</v>
      </c>
      <c r="D53" s="95" t="s">
        <v>18</v>
      </c>
      <c r="E53" s="94">
        <f t="shared" si="1"/>
        <v>323</v>
      </c>
      <c r="F53" s="93">
        <v>100</v>
      </c>
      <c r="G53" s="93">
        <f t="shared" si="0"/>
        <v>32300</v>
      </c>
      <c r="H53" s="63">
        <v>188</v>
      </c>
      <c r="I53" s="60">
        <v>135</v>
      </c>
      <c r="J53" s="42"/>
      <c r="K53" s="100"/>
      <c r="L53" s="68"/>
      <c r="M53" s="70"/>
      <c r="N53" s="51"/>
      <c r="O53" s="52"/>
      <c r="P53" s="52"/>
      <c r="Q53" s="52"/>
    </row>
    <row r="54" spans="1:17" ht="151.80000000000001" x14ac:dyDescent="0.3">
      <c r="A54" s="1">
        <v>1</v>
      </c>
      <c r="B54" s="2" t="s">
        <v>28</v>
      </c>
      <c r="C54" s="3" t="s">
        <v>439</v>
      </c>
      <c r="D54" s="95" t="s">
        <v>29</v>
      </c>
      <c r="E54" s="94">
        <f t="shared" si="1"/>
        <v>10</v>
      </c>
      <c r="F54" s="93">
        <v>500</v>
      </c>
      <c r="G54" s="93">
        <f t="shared" si="0"/>
        <v>5000</v>
      </c>
      <c r="H54" s="63"/>
      <c r="I54" s="60"/>
      <c r="J54" s="42"/>
      <c r="K54" s="100"/>
      <c r="L54" s="68"/>
      <c r="M54" s="70"/>
      <c r="N54" s="51">
        <v>10</v>
      </c>
      <c r="O54" s="52"/>
      <c r="P54" s="52"/>
      <c r="Q54" s="52"/>
    </row>
    <row r="55" spans="1:17" ht="165.6" x14ac:dyDescent="0.3">
      <c r="A55" s="1">
        <v>1</v>
      </c>
      <c r="B55" s="2" t="s">
        <v>30</v>
      </c>
      <c r="C55" s="3" t="s">
        <v>437</v>
      </c>
      <c r="D55" s="95" t="s">
        <v>29</v>
      </c>
      <c r="E55" s="94">
        <f t="shared" si="1"/>
        <v>2</v>
      </c>
      <c r="F55" s="93">
        <v>800</v>
      </c>
      <c r="G55" s="93">
        <f t="shared" si="0"/>
        <v>1600</v>
      </c>
      <c r="H55" s="63"/>
      <c r="I55" s="60"/>
      <c r="J55" s="42">
        <v>2</v>
      </c>
      <c r="K55" s="100"/>
      <c r="L55" s="68"/>
      <c r="M55" s="70"/>
      <c r="N55" s="51"/>
      <c r="O55" s="52"/>
      <c r="P55" s="52"/>
      <c r="Q55" s="52"/>
    </row>
    <row r="56" spans="1:17" ht="165.6" x14ac:dyDescent="0.3">
      <c r="A56" s="1">
        <v>1</v>
      </c>
      <c r="B56" s="2" t="s">
        <v>31</v>
      </c>
      <c r="C56" s="3" t="s">
        <v>32</v>
      </c>
      <c r="D56" s="95" t="s">
        <v>29</v>
      </c>
      <c r="E56" s="94">
        <f t="shared" si="1"/>
        <v>4</v>
      </c>
      <c r="F56" s="93">
        <v>500</v>
      </c>
      <c r="G56" s="93">
        <f t="shared" si="0"/>
        <v>2000</v>
      </c>
      <c r="H56" s="63"/>
      <c r="I56" s="60"/>
      <c r="J56" s="42">
        <v>3</v>
      </c>
      <c r="K56" s="100"/>
      <c r="L56" s="68"/>
      <c r="M56" s="70"/>
      <c r="N56" s="51">
        <v>1</v>
      </c>
      <c r="O56" s="52"/>
      <c r="P56" s="52"/>
      <c r="Q56" s="52"/>
    </row>
    <row r="57" spans="1:17" ht="165.6" x14ac:dyDescent="0.3">
      <c r="A57" s="1">
        <v>1</v>
      </c>
      <c r="B57" s="2" t="s">
        <v>33</v>
      </c>
      <c r="C57" s="3" t="s">
        <v>34</v>
      </c>
      <c r="D57" s="95" t="s">
        <v>29</v>
      </c>
      <c r="E57" s="94">
        <f t="shared" si="1"/>
        <v>1</v>
      </c>
      <c r="F57" s="93">
        <v>3000</v>
      </c>
      <c r="G57" s="93">
        <f t="shared" si="0"/>
        <v>3000</v>
      </c>
      <c r="H57" s="63">
        <v>1</v>
      </c>
      <c r="I57" s="60"/>
      <c r="J57" s="42"/>
      <c r="K57" s="100"/>
      <c r="L57" s="68"/>
      <c r="M57" s="70"/>
      <c r="N57" s="51"/>
      <c r="O57" s="52"/>
      <c r="P57" s="52"/>
      <c r="Q57" s="52"/>
    </row>
    <row r="58" spans="1:17" ht="110.4" x14ac:dyDescent="0.3">
      <c r="A58" s="1">
        <v>1</v>
      </c>
      <c r="B58" s="2" t="s">
        <v>35</v>
      </c>
      <c r="C58" s="3" t="s">
        <v>36</v>
      </c>
      <c r="D58" s="95" t="s">
        <v>37</v>
      </c>
      <c r="E58" s="94">
        <f t="shared" si="1"/>
        <v>0.54</v>
      </c>
      <c r="F58" s="93">
        <v>1500</v>
      </c>
      <c r="G58" s="93">
        <f t="shared" si="0"/>
        <v>810</v>
      </c>
      <c r="H58" s="63"/>
      <c r="I58" s="60"/>
      <c r="J58" s="42">
        <v>0.54</v>
      </c>
      <c r="K58" s="100"/>
      <c r="L58" s="68"/>
      <c r="M58" s="70"/>
      <c r="N58" s="51"/>
      <c r="O58" s="52"/>
      <c r="P58" s="52"/>
      <c r="Q58" s="52"/>
    </row>
    <row r="59" spans="1:17" ht="151.80000000000001" x14ac:dyDescent="0.3">
      <c r="A59" s="1">
        <v>1</v>
      </c>
      <c r="B59" s="2" t="s">
        <v>38</v>
      </c>
      <c r="C59" s="3" t="s">
        <v>39</v>
      </c>
      <c r="D59" s="95" t="s">
        <v>37</v>
      </c>
      <c r="E59" s="94">
        <f t="shared" si="1"/>
        <v>0.51</v>
      </c>
      <c r="F59" s="93">
        <v>2800</v>
      </c>
      <c r="G59" s="93">
        <f t="shared" si="0"/>
        <v>1428</v>
      </c>
      <c r="H59" s="63"/>
      <c r="I59" s="60"/>
      <c r="J59" s="42"/>
      <c r="K59" s="100"/>
      <c r="L59" s="68"/>
      <c r="M59" s="70"/>
      <c r="N59" s="51">
        <v>0.51</v>
      </c>
      <c r="O59" s="52"/>
      <c r="P59" s="52"/>
      <c r="Q59" s="52"/>
    </row>
    <row r="60" spans="1:17" ht="138" x14ac:dyDescent="0.3">
      <c r="A60" s="1">
        <v>1</v>
      </c>
      <c r="B60" s="2" t="s">
        <v>40</v>
      </c>
      <c r="C60" s="3" t="s">
        <v>41</v>
      </c>
      <c r="D60" s="95" t="s">
        <v>37</v>
      </c>
      <c r="E60" s="94">
        <f t="shared" si="1"/>
        <v>0.86199999999999999</v>
      </c>
      <c r="F60" s="93">
        <v>2500</v>
      </c>
      <c r="G60" s="93">
        <f t="shared" si="0"/>
        <v>2155</v>
      </c>
      <c r="H60" s="63"/>
      <c r="I60" s="60"/>
      <c r="J60" s="42">
        <f>0.304+0.282+0.276</f>
        <v>0.86199999999999999</v>
      </c>
      <c r="K60" s="100"/>
      <c r="L60" s="68"/>
      <c r="M60" s="70"/>
      <c r="N60" s="51"/>
      <c r="O60" s="52"/>
      <c r="P60" s="52"/>
      <c r="Q60" s="52"/>
    </row>
    <row r="61" spans="1:17" ht="248.4" x14ac:dyDescent="0.3">
      <c r="A61" s="1">
        <v>1</v>
      </c>
      <c r="B61" s="2" t="s">
        <v>42</v>
      </c>
      <c r="C61" s="3" t="s">
        <v>43</v>
      </c>
      <c r="D61" s="95" t="s">
        <v>25</v>
      </c>
      <c r="E61" s="94">
        <f t="shared" si="1"/>
        <v>992.45999999999992</v>
      </c>
      <c r="F61" s="93">
        <v>220</v>
      </c>
      <c r="G61" s="93">
        <f t="shared" si="0"/>
        <v>218341.19999999998</v>
      </c>
      <c r="H61" s="63">
        <f>329.25+12.44</f>
        <v>341.69</v>
      </c>
      <c r="I61" s="60">
        <v>459.65</v>
      </c>
      <c r="J61" s="42">
        <f>47.23+23.1+42.12+6.3+43.35+23.1+1.76+2.08+2.08</f>
        <v>191.12</v>
      </c>
      <c r="K61" s="100"/>
      <c r="L61" s="68"/>
      <c r="M61" s="70"/>
      <c r="N61" s="51"/>
      <c r="O61" s="52"/>
      <c r="P61" s="52"/>
      <c r="Q61" s="52"/>
    </row>
    <row r="62" spans="1:17" ht="234.6" x14ac:dyDescent="0.3">
      <c r="A62" s="1">
        <v>1</v>
      </c>
      <c r="B62" s="2" t="s">
        <v>44</v>
      </c>
      <c r="C62" s="3" t="s">
        <v>45</v>
      </c>
      <c r="D62" s="95" t="s">
        <v>25</v>
      </c>
      <c r="E62" s="94">
        <f t="shared" si="1"/>
        <v>129.4</v>
      </c>
      <c r="F62" s="93">
        <v>130</v>
      </c>
      <c r="G62" s="93">
        <f t="shared" si="0"/>
        <v>16822</v>
      </c>
      <c r="H62" s="63">
        <v>113.25</v>
      </c>
      <c r="I62" s="60">
        <v>16.149999999999999</v>
      </c>
      <c r="J62" s="42"/>
      <c r="K62" s="100"/>
      <c r="L62" s="68"/>
      <c r="M62" s="70"/>
      <c r="N62" s="51"/>
      <c r="O62" s="52"/>
      <c r="P62" s="52"/>
      <c r="Q62" s="52"/>
    </row>
    <row r="63" spans="1:17" ht="193.2" x14ac:dyDescent="0.3">
      <c r="A63" s="1">
        <v>1</v>
      </c>
      <c r="B63" s="2" t="s">
        <v>46</v>
      </c>
      <c r="C63" s="3" t="s">
        <v>47</v>
      </c>
      <c r="D63" s="95" t="s">
        <v>25</v>
      </c>
      <c r="E63" s="94">
        <f t="shared" si="1"/>
        <v>1.57</v>
      </c>
      <c r="F63" s="93">
        <v>1800</v>
      </c>
      <c r="G63" s="93">
        <f t="shared" si="0"/>
        <v>2826</v>
      </c>
      <c r="H63" s="63"/>
      <c r="I63" s="60"/>
      <c r="J63" s="42">
        <f>0.32+0.375+0.375</f>
        <v>1.07</v>
      </c>
      <c r="K63" s="100"/>
      <c r="L63" s="68"/>
      <c r="M63" s="70"/>
      <c r="N63" s="51">
        <v>0.5</v>
      </c>
      <c r="O63" s="52"/>
      <c r="P63" s="52"/>
      <c r="Q63" s="52"/>
    </row>
    <row r="64" spans="1:17" ht="124.2" x14ac:dyDescent="0.3">
      <c r="A64" s="1">
        <v>1</v>
      </c>
      <c r="B64" s="2" t="s">
        <v>48</v>
      </c>
      <c r="C64" s="3" t="s">
        <v>49</v>
      </c>
      <c r="D64" s="95" t="s">
        <v>37</v>
      </c>
      <c r="E64" s="94">
        <f t="shared" si="1"/>
        <v>1.7999999999999998</v>
      </c>
      <c r="F64" s="93">
        <v>2800</v>
      </c>
      <c r="G64" s="93">
        <f t="shared" si="0"/>
        <v>5039.9999999999991</v>
      </c>
      <c r="H64" s="63"/>
      <c r="I64" s="60"/>
      <c r="J64" s="42">
        <f>0.61+0.61+0.58</f>
        <v>1.7999999999999998</v>
      </c>
      <c r="K64" s="100"/>
      <c r="L64" s="68"/>
      <c r="M64" s="70"/>
      <c r="N64" s="51"/>
      <c r="O64" s="52"/>
      <c r="P64" s="52"/>
      <c r="Q64" s="52"/>
    </row>
    <row r="65" spans="1:17" ht="124.2" x14ac:dyDescent="0.3">
      <c r="A65" s="1">
        <v>1</v>
      </c>
      <c r="B65" s="2" t="s">
        <v>50</v>
      </c>
      <c r="C65" s="3" t="s">
        <v>311</v>
      </c>
      <c r="D65" s="95" t="s">
        <v>25</v>
      </c>
      <c r="E65" s="94">
        <f t="shared" si="1"/>
        <v>3.4333333333333331</v>
      </c>
      <c r="F65" s="93">
        <v>1200</v>
      </c>
      <c r="G65" s="93">
        <f t="shared" si="0"/>
        <v>4120</v>
      </c>
      <c r="H65" s="63"/>
      <c r="I65" s="60"/>
      <c r="J65" s="42"/>
      <c r="K65" s="100"/>
      <c r="L65" s="68"/>
      <c r="M65" s="70"/>
      <c r="N65" s="51">
        <f>(0.02+0.012+0.01+0.013+0.012+0.01+0.026)/0.03</f>
        <v>3.4333333333333331</v>
      </c>
      <c r="O65" s="52"/>
      <c r="P65" s="52"/>
      <c r="Q65" s="52"/>
    </row>
    <row r="66" spans="1:17" ht="138" x14ac:dyDescent="0.3">
      <c r="A66" s="1">
        <v>1</v>
      </c>
      <c r="B66" s="2" t="s">
        <v>51</v>
      </c>
      <c r="C66" s="3" t="s">
        <v>52</v>
      </c>
      <c r="D66" s="95" t="s">
        <v>25</v>
      </c>
      <c r="E66" s="94">
        <f t="shared" si="1"/>
        <v>92.04</v>
      </c>
      <c r="F66" s="93">
        <v>80</v>
      </c>
      <c r="G66" s="93">
        <f t="shared" si="0"/>
        <v>7363.2000000000007</v>
      </c>
      <c r="H66" s="63"/>
      <c r="I66" s="60"/>
      <c r="J66" s="42">
        <v>92.04</v>
      </c>
      <c r="K66" s="100"/>
      <c r="L66" s="68"/>
      <c r="M66" s="70"/>
      <c r="N66" s="51"/>
      <c r="O66" s="52"/>
      <c r="P66" s="52"/>
      <c r="Q66" s="52"/>
    </row>
    <row r="67" spans="1:17" ht="151.80000000000001" x14ac:dyDescent="0.3">
      <c r="A67" s="1">
        <v>1</v>
      </c>
      <c r="B67" s="2" t="s">
        <v>53</v>
      </c>
      <c r="C67" s="3" t="s">
        <v>54</v>
      </c>
      <c r="D67" s="95" t="s">
        <v>25</v>
      </c>
      <c r="E67" s="94">
        <f t="shared" si="1"/>
        <v>2.88</v>
      </c>
      <c r="F67" s="93">
        <v>3000</v>
      </c>
      <c r="G67" s="93">
        <f t="shared" si="0"/>
        <v>8640</v>
      </c>
      <c r="H67" s="63"/>
      <c r="I67" s="60"/>
      <c r="J67" s="42"/>
      <c r="K67" s="100"/>
      <c r="L67" s="68"/>
      <c r="M67" s="70"/>
      <c r="N67" s="51">
        <v>2.88</v>
      </c>
      <c r="O67" s="52"/>
      <c r="P67" s="52"/>
      <c r="Q67" s="52"/>
    </row>
    <row r="68" spans="1:17" ht="193.2" x14ac:dyDescent="0.3">
      <c r="A68" s="1">
        <v>1</v>
      </c>
      <c r="B68" s="2" t="s">
        <v>55</v>
      </c>
      <c r="C68" s="3" t="s">
        <v>56</v>
      </c>
      <c r="D68" s="95" t="s">
        <v>29</v>
      </c>
      <c r="E68" s="94">
        <f t="shared" si="1"/>
        <v>2</v>
      </c>
      <c r="F68" s="44">
        <f>27000+3000</f>
        <v>30000</v>
      </c>
      <c r="G68" s="93">
        <f t="shared" si="0"/>
        <v>60000</v>
      </c>
      <c r="H68" s="63"/>
      <c r="I68" s="60"/>
      <c r="J68" s="42"/>
      <c r="K68" s="100"/>
      <c r="L68" s="68"/>
      <c r="M68" s="70"/>
      <c r="N68" s="51">
        <v>2</v>
      </c>
      <c r="O68" s="52"/>
      <c r="P68" s="52"/>
      <c r="Q68" s="52"/>
    </row>
    <row r="69" spans="1:17" ht="165.6" x14ac:dyDescent="0.3">
      <c r="A69" s="1">
        <v>1</v>
      </c>
      <c r="B69" s="2" t="s">
        <v>57</v>
      </c>
      <c r="C69" s="45" t="s">
        <v>446</v>
      </c>
      <c r="D69" s="95" t="s">
        <v>25</v>
      </c>
      <c r="E69" s="94">
        <f t="shared" si="1"/>
        <v>2858.4</v>
      </c>
      <c r="F69" s="93">
        <v>30</v>
      </c>
      <c r="G69" s="93">
        <f>$E69*$F69</f>
        <v>85752</v>
      </c>
      <c r="H69" s="63">
        <v>1815</v>
      </c>
      <c r="I69" s="60">
        <v>1043.4000000000001</v>
      </c>
      <c r="J69" s="42"/>
      <c r="K69" s="100"/>
      <c r="L69" s="68"/>
      <c r="M69" s="70"/>
      <c r="N69" s="51"/>
      <c r="O69" s="52"/>
      <c r="P69" s="52"/>
      <c r="Q69" s="52"/>
    </row>
    <row r="70" spans="1:17" ht="69" x14ac:dyDescent="0.3">
      <c r="A70" s="1">
        <v>1</v>
      </c>
      <c r="B70" s="2" t="s">
        <v>58</v>
      </c>
      <c r="C70" s="3" t="s">
        <v>59</v>
      </c>
      <c r="D70" s="95" t="s">
        <v>37</v>
      </c>
      <c r="E70" s="94">
        <f>SUM(H70:N70)*1.15</f>
        <v>70.543989999999994</v>
      </c>
      <c r="F70" s="93">
        <v>500</v>
      </c>
      <c r="G70" s="93">
        <f>$E70*$F70</f>
        <v>35271.994999999995</v>
      </c>
      <c r="H70" s="63">
        <f>H61*0.05+H62*0.05</f>
        <v>22.747000000000003</v>
      </c>
      <c r="I70" s="60">
        <f>I61*0.05+I62*0.05</f>
        <v>23.790000000000003</v>
      </c>
      <c r="J70" s="42">
        <f>J58+J60+J61*0.05+J63*0.18+J64</f>
        <v>12.950600000000001</v>
      </c>
      <c r="K70" s="100"/>
      <c r="L70" s="68"/>
      <c r="M70" s="70"/>
      <c r="N70" s="51">
        <f>N59+N63*0.18+N65*0.03+N67*0.4</f>
        <v>1.855</v>
      </c>
      <c r="O70" s="52"/>
      <c r="P70" s="52"/>
      <c r="Q70" s="52"/>
    </row>
    <row r="71" spans="1:17" ht="96.6" x14ac:dyDescent="0.3">
      <c r="A71" s="1">
        <v>1</v>
      </c>
      <c r="B71" s="2" t="s">
        <v>60</v>
      </c>
      <c r="C71" s="3" t="s">
        <v>61</v>
      </c>
      <c r="D71" s="95" t="s">
        <v>37</v>
      </c>
      <c r="E71" s="94">
        <f>SUM(H71:N71)*1.15</f>
        <v>70.543989999999994</v>
      </c>
      <c r="F71" s="93">
        <v>300</v>
      </c>
      <c r="G71" s="93">
        <f>$E71*$F71</f>
        <v>21163.196999999996</v>
      </c>
      <c r="H71" s="63">
        <f>H61*0.05+H62*0.05</f>
        <v>22.747000000000003</v>
      </c>
      <c r="I71" s="60">
        <f>I61*0.05+I62*0.05</f>
        <v>23.790000000000003</v>
      </c>
      <c r="J71" s="42">
        <f>J58+J60+J61*0.05+J63*0.18+J64</f>
        <v>12.950600000000001</v>
      </c>
      <c r="K71" s="100"/>
      <c r="L71" s="68"/>
      <c r="M71" s="70"/>
      <c r="N71" s="51">
        <f>N59+N63*0.18+N65*0.03+N67*0.4</f>
        <v>1.855</v>
      </c>
      <c r="O71" s="52"/>
      <c r="P71" s="52"/>
      <c r="Q71" s="52"/>
    </row>
    <row r="72" spans="1:17" ht="138" customHeight="1" x14ac:dyDescent="0.3">
      <c r="A72" s="22">
        <v>1</v>
      </c>
      <c r="B72" s="2" t="s">
        <v>77</v>
      </c>
      <c r="C72" s="24" t="s">
        <v>9</v>
      </c>
      <c r="D72" s="107" t="s">
        <v>10</v>
      </c>
      <c r="E72" s="94">
        <f>SUM(H72:N72)</f>
        <v>1</v>
      </c>
      <c r="F72" s="108">
        <v>1000</v>
      </c>
      <c r="G72" s="108">
        <f t="shared" ref="G72:G74" si="2">$E72*$F72</f>
        <v>1000</v>
      </c>
      <c r="H72"/>
      <c r="I72"/>
      <c r="J72"/>
      <c r="M72" s="73">
        <v>1</v>
      </c>
    </row>
    <row r="73" spans="1:17" ht="179.4" x14ac:dyDescent="0.3">
      <c r="A73" s="1">
        <v>1</v>
      </c>
      <c r="B73" s="2" t="s">
        <v>78</v>
      </c>
      <c r="C73" s="7" t="s">
        <v>12</v>
      </c>
      <c r="D73" s="95" t="s">
        <v>10</v>
      </c>
      <c r="E73" s="94">
        <f>SUM(H73:N73)</f>
        <v>1</v>
      </c>
      <c r="F73" s="93">
        <v>1000</v>
      </c>
      <c r="G73" s="93">
        <f t="shared" si="2"/>
        <v>1000</v>
      </c>
      <c r="H73"/>
      <c r="I73"/>
      <c r="J73"/>
      <c r="M73" s="73">
        <v>1</v>
      </c>
    </row>
    <row r="74" spans="1:17" ht="151.80000000000001" x14ac:dyDescent="0.3">
      <c r="A74" s="34">
        <v>1</v>
      </c>
      <c r="B74" s="2" t="s">
        <v>79</v>
      </c>
      <c r="C74" s="36" t="s">
        <v>14</v>
      </c>
      <c r="D74" s="104" t="s">
        <v>10</v>
      </c>
      <c r="E74" s="94">
        <f>SUM(H74:N74)</f>
        <v>1</v>
      </c>
      <c r="F74" s="106">
        <v>1500</v>
      </c>
      <c r="G74" s="106">
        <f t="shared" si="2"/>
        <v>1500</v>
      </c>
      <c r="H74"/>
      <c r="I74"/>
      <c r="J74"/>
      <c r="M74" s="73">
        <v>1</v>
      </c>
    </row>
    <row r="75" spans="1:17" x14ac:dyDescent="0.3">
      <c r="A75" s="28" t="s">
        <v>15</v>
      </c>
      <c r="B75" s="29"/>
      <c r="C75" s="46" t="s">
        <v>16</v>
      </c>
      <c r="D75" s="31"/>
      <c r="E75" s="32"/>
      <c r="F75" s="33"/>
      <c r="G75" s="33"/>
      <c r="H75" s="63"/>
      <c r="I75" s="60"/>
      <c r="J75" s="42"/>
      <c r="K75" s="100"/>
      <c r="L75" s="68"/>
      <c r="M75" s="70"/>
      <c r="N75" s="51"/>
      <c r="O75" s="52"/>
      <c r="P75" s="52"/>
      <c r="Q75" s="52"/>
    </row>
    <row r="76" spans="1:17" ht="138" x14ac:dyDescent="0.3">
      <c r="A76" s="1">
        <v>2</v>
      </c>
      <c r="B76" s="2" t="s">
        <v>8</v>
      </c>
      <c r="C76" s="45" t="s">
        <v>312</v>
      </c>
      <c r="D76" s="95" t="s">
        <v>37</v>
      </c>
      <c r="E76" s="94">
        <f>SUM(H76:N76)</f>
        <v>0.57000000000000006</v>
      </c>
      <c r="F76" s="93">
        <v>200</v>
      </c>
      <c r="G76" s="93">
        <f>$E76*$F76</f>
        <v>114.00000000000001</v>
      </c>
      <c r="H76" s="63"/>
      <c r="I76" s="60"/>
      <c r="J76" s="42"/>
      <c r="K76" s="100"/>
      <c r="L76" s="68"/>
      <c r="M76" s="70"/>
      <c r="N76" s="51">
        <f>0.38*1.5</f>
        <v>0.57000000000000006</v>
      </c>
      <c r="O76" s="52"/>
      <c r="P76" s="52"/>
      <c r="Q76" s="52"/>
    </row>
    <row r="77" spans="1:17" ht="110.4" x14ac:dyDescent="0.3">
      <c r="A77" s="1">
        <v>2</v>
      </c>
      <c r="B77" s="2" t="s">
        <v>11</v>
      </c>
      <c r="C77" s="45" t="s">
        <v>62</v>
      </c>
      <c r="D77" s="95" t="s">
        <v>25</v>
      </c>
      <c r="E77" s="94">
        <f>SUM(H77:N77)</f>
        <v>6.5</v>
      </c>
      <c r="F77" s="93">
        <v>280</v>
      </c>
      <c r="G77" s="93">
        <f>$E77*$F77</f>
        <v>1820</v>
      </c>
      <c r="H77" s="63"/>
      <c r="I77" s="60"/>
      <c r="J77" s="42"/>
      <c r="K77" s="100"/>
      <c r="L77" s="68"/>
      <c r="M77" s="70"/>
      <c r="N77" s="51">
        <v>6.5</v>
      </c>
      <c r="O77" s="52"/>
      <c r="P77" s="52"/>
      <c r="Q77" s="52"/>
    </row>
    <row r="78" spans="1:17" ht="236.25" customHeight="1" x14ac:dyDescent="0.3">
      <c r="A78" s="1">
        <v>2</v>
      </c>
      <c r="B78" s="2" t="s">
        <v>13</v>
      </c>
      <c r="C78" s="3" t="s">
        <v>17</v>
      </c>
      <c r="D78" s="95" t="s">
        <v>18</v>
      </c>
      <c r="E78" s="94">
        <f>SUM(H78:N78)</f>
        <v>2</v>
      </c>
      <c r="F78" s="93">
        <v>500</v>
      </c>
      <c r="G78" s="93">
        <f t="shared" ref="G78" si="3">$E78*$F78</f>
        <v>1000</v>
      </c>
      <c r="H78"/>
      <c r="I78"/>
      <c r="J78"/>
      <c r="K78" s="99"/>
      <c r="L78" s="66"/>
      <c r="M78" s="73">
        <v>2</v>
      </c>
    </row>
    <row r="79" spans="1:17" x14ac:dyDescent="0.3">
      <c r="A79" s="28" t="s">
        <v>63</v>
      </c>
      <c r="B79" s="29"/>
      <c r="C79" s="46" t="s">
        <v>64</v>
      </c>
      <c r="D79" s="31"/>
      <c r="E79" s="32"/>
      <c r="F79" s="33"/>
      <c r="G79" s="33"/>
      <c r="H79" s="63"/>
      <c r="I79" s="60"/>
      <c r="J79" s="42"/>
      <c r="K79" s="100"/>
      <c r="L79" s="68"/>
      <c r="M79" s="70"/>
      <c r="N79" s="51"/>
      <c r="O79" s="52"/>
      <c r="P79" s="52"/>
      <c r="Q79" s="52"/>
    </row>
    <row r="80" spans="1:17" ht="193.2" x14ac:dyDescent="0.3">
      <c r="A80" s="1">
        <v>3</v>
      </c>
      <c r="B80" s="2" t="s">
        <v>8</v>
      </c>
      <c r="C80" s="45" t="s">
        <v>438</v>
      </c>
      <c r="D80" s="95" t="s">
        <v>25</v>
      </c>
      <c r="E80" s="94">
        <f t="shared" ref="E80:E105" si="4">SUM(H80:N80)</f>
        <v>199.53</v>
      </c>
      <c r="F80" s="93">
        <v>150</v>
      </c>
      <c r="G80" s="93">
        <f t="shared" ref="G80:G93" si="5">$E80*$F80</f>
        <v>29929.5</v>
      </c>
      <c r="H80" s="63"/>
      <c r="I80" s="60"/>
      <c r="J80" s="42">
        <f>92.04+92.04+15.45</f>
        <v>199.53</v>
      </c>
      <c r="K80" s="100"/>
      <c r="L80" s="68"/>
      <c r="M80" s="70"/>
      <c r="N80" s="51"/>
      <c r="O80" s="52">
        <f>170/J80</f>
        <v>0.85200220518217806</v>
      </c>
      <c r="P80" s="52">
        <v>75.5</v>
      </c>
      <c r="Q80" s="52">
        <v>250</v>
      </c>
    </row>
    <row r="81" spans="1:17" ht="234.6" x14ac:dyDescent="0.3">
      <c r="A81" s="1">
        <v>3</v>
      </c>
      <c r="B81" s="2" t="s">
        <v>11</v>
      </c>
      <c r="C81" s="45" t="s">
        <v>65</v>
      </c>
      <c r="D81" s="95" t="s">
        <v>29</v>
      </c>
      <c r="E81" s="94">
        <f t="shared" si="4"/>
        <v>12</v>
      </c>
      <c r="F81" s="93">
        <f>O81+P81</f>
        <v>95</v>
      </c>
      <c r="G81" s="93">
        <f t="shared" si="5"/>
        <v>1140</v>
      </c>
      <c r="H81" s="63">
        <v>6</v>
      </c>
      <c r="I81" s="60">
        <v>6</v>
      </c>
      <c r="J81" s="42"/>
      <c r="K81" s="100"/>
      <c r="L81" s="68"/>
      <c r="M81" s="70"/>
      <c r="N81" s="51"/>
      <c r="O81" s="52">
        <v>15</v>
      </c>
      <c r="P81" s="52">
        <v>80</v>
      </c>
      <c r="Q81" s="52">
        <v>120</v>
      </c>
    </row>
    <row r="82" spans="1:17" ht="220.8" x14ac:dyDescent="0.3">
      <c r="A82" s="1">
        <v>3</v>
      </c>
      <c r="B82" s="2" t="s">
        <v>13</v>
      </c>
      <c r="C82" s="3" t="s">
        <v>66</v>
      </c>
      <c r="D82" s="95" t="s">
        <v>25</v>
      </c>
      <c r="E82" s="94">
        <f t="shared" si="4"/>
        <v>163.04000000000002</v>
      </c>
      <c r="F82" s="93">
        <v>90</v>
      </c>
      <c r="G82" s="93">
        <f t="shared" si="5"/>
        <v>14673.600000000002</v>
      </c>
      <c r="H82" s="63">
        <f>3+12.44</f>
        <v>15.44</v>
      </c>
      <c r="I82" s="60"/>
      <c r="J82" s="42">
        <f>48.4+52.28+46.92</f>
        <v>147.60000000000002</v>
      </c>
      <c r="K82" s="100"/>
      <c r="L82" s="68"/>
      <c r="M82" s="70"/>
      <c r="N82" s="51"/>
      <c r="O82" s="52"/>
      <c r="P82" s="52">
        <v>70</v>
      </c>
      <c r="Q82" s="52">
        <v>180</v>
      </c>
    </row>
    <row r="83" spans="1:17" ht="234.6" x14ac:dyDescent="0.3">
      <c r="A83" s="1">
        <v>3</v>
      </c>
      <c r="B83" s="2" t="s">
        <v>26</v>
      </c>
      <c r="C83" s="3" t="s">
        <v>67</v>
      </c>
      <c r="D83" s="95" t="s">
        <v>25</v>
      </c>
      <c r="E83" s="94">
        <f t="shared" si="4"/>
        <v>52.5</v>
      </c>
      <c r="F83" s="93">
        <v>90</v>
      </c>
      <c r="G83" s="93">
        <f t="shared" si="5"/>
        <v>4725</v>
      </c>
      <c r="H83" s="63"/>
      <c r="I83" s="60"/>
      <c r="J83" s="42">
        <f>23.1+23.1+6.3</f>
        <v>52.5</v>
      </c>
      <c r="K83" s="100"/>
      <c r="L83" s="68"/>
      <c r="M83" s="70"/>
      <c r="N83" s="51"/>
      <c r="O83" s="52"/>
      <c r="P83" s="52">
        <v>70</v>
      </c>
      <c r="Q83" s="52">
        <v>220</v>
      </c>
    </row>
    <row r="84" spans="1:17" ht="317.39999999999998" x14ac:dyDescent="0.3">
      <c r="A84" s="1">
        <v>3</v>
      </c>
      <c r="B84" s="2" t="s">
        <v>28</v>
      </c>
      <c r="C84" s="3" t="s">
        <v>447</v>
      </c>
      <c r="D84" s="95" t="s">
        <v>29</v>
      </c>
      <c r="E84" s="94">
        <f t="shared" si="4"/>
        <v>90</v>
      </c>
      <c r="F84" s="44">
        <v>320</v>
      </c>
      <c r="G84" s="93">
        <f>$E84*$F84</f>
        <v>28800</v>
      </c>
      <c r="H84" s="63"/>
      <c r="I84" s="60"/>
      <c r="J84" s="42">
        <v>90</v>
      </c>
      <c r="K84" s="100"/>
      <c r="L84" s="68"/>
      <c r="M84" s="70"/>
      <c r="N84" s="51"/>
      <c r="O84" s="52"/>
      <c r="P84" s="52"/>
      <c r="Q84" s="52"/>
    </row>
    <row r="85" spans="1:17" ht="345" x14ac:dyDescent="0.3">
      <c r="A85" s="1">
        <v>3</v>
      </c>
      <c r="B85" s="2" t="s">
        <v>30</v>
      </c>
      <c r="C85" s="3" t="s">
        <v>448</v>
      </c>
      <c r="D85" s="95" t="s">
        <v>25</v>
      </c>
      <c r="E85" s="94">
        <f t="shared" si="4"/>
        <v>163.04000000000002</v>
      </c>
      <c r="F85" s="44">
        <v>1600</v>
      </c>
      <c r="G85" s="93">
        <f>$E85*$F85</f>
        <v>260864.00000000003</v>
      </c>
      <c r="H85" s="63">
        <f>3+12.44</f>
        <v>15.44</v>
      </c>
      <c r="I85" s="60"/>
      <c r="J85" s="42">
        <f>48.4+52.28+46.92</f>
        <v>147.60000000000002</v>
      </c>
      <c r="K85" s="100"/>
      <c r="L85" s="68"/>
      <c r="M85" s="70"/>
      <c r="N85" s="51"/>
      <c r="O85" s="52"/>
      <c r="P85" s="52"/>
      <c r="Q85" s="52"/>
    </row>
    <row r="86" spans="1:17" ht="248.4" x14ac:dyDescent="0.3">
      <c r="A86" s="1">
        <v>3</v>
      </c>
      <c r="B86" s="2" t="s">
        <v>31</v>
      </c>
      <c r="C86" s="3" t="s">
        <v>68</v>
      </c>
      <c r="D86" s="95" t="s">
        <v>18</v>
      </c>
      <c r="E86" s="94">
        <f t="shared" si="4"/>
        <v>170</v>
      </c>
      <c r="F86" s="44">
        <v>1200</v>
      </c>
      <c r="G86" s="93">
        <f t="shared" si="5"/>
        <v>204000</v>
      </c>
      <c r="H86" s="63"/>
      <c r="I86" s="60"/>
      <c r="J86" s="42">
        <f>74.8+74.8+20.4</f>
        <v>170</v>
      </c>
      <c r="K86" s="100"/>
      <c r="L86" s="68"/>
      <c r="M86" s="70"/>
      <c r="N86" s="51"/>
      <c r="O86" s="52"/>
      <c r="P86" s="52"/>
      <c r="Q86" s="52"/>
    </row>
    <row r="87" spans="1:17" ht="193.2" x14ac:dyDescent="0.3">
      <c r="A87" s="1">
        <v>3</v>
      </c>
      <c r="B87" s="2" t="s">
        <v>33</v>
      </c>
      <c r="C87" s="3" t="s">
        <v>69</v>
      </c>
      <c r="D87" s="95" t="s">
        <v>29</v>
      </c>
      <c r="E87" s="94">
        <f t="shared" si="4"/>
        <v>594</v>
      </c>
      <c r="F87" s="44">
        <v>15</v>
      </c>
      <c r="G87" s="93">
        <f t="shared" si="5"/>
        <v>8910</v>
      </c>
      <c r="H87" s="63"/>
      <c r="I87" s="60"/>
      <c r="J87" s="42">
        <v>556</v>
      </c>
      <c r="K87" s="100"/>
      <c r="L87" s="68"/>
      <c r="M87" s="70"/>
      <c r="N87" s="51">
        <v>38</v>
      </c>
      <c r="O87" s="52"/>
      <c r="P87" s="52"/>
      <c r="Q87" s="52"/>
    </row>
    <row r="88" spans="1:17" ht="193.2" x14ac:dyDescent="0.3">
      <c r="A88" s="1">
        <v>3</v>
      </c>
      <c r="B88" s="2" t="s">
        <v>35</v>
      </c>
      <c r="C88" s="3" t="s">
        <v>70</v>
      </c>
      <c r="D88" s="95" t="s">
        <v>71</v>
      </c>
      <c r="E88" s="94">
        <f t="shared" si="4"/>
        <v>765.15</v>
      </c>
      <c r="F88" s="93">
        <v>12</v>
      </c>
      <c r="G88" s="93">
        <f t="shared" si="5"/>
        <v>9181.7999999999993</v>
      </c>
      <c r="H88" s="63"/>
      <c r="I88" s="60"/>
      <c r="J88" s="42">
        <v>606.49</v>
      </c>
      <c r="K88" s="100"/>
      <c r="L88" s="68"/>
      <c r="M88" s="70"/>
      <c r="N88" s="51">
        <v>158.66</v>
      </c>
      <c r="O88" s="52">
        <f>5*1.3</f>
        <v>6.5</v>
      </c>
      <c r="P88" s="52">
        <f>14*1.3</f>
        <v>18.2</v>
      </c>
      <c r="Q88" s="52">
        <v>12</v>
      </c>
    </row>
    <row r="89" spans="1:17" ht="165.6" x14ac:dyDescent="0.3">
      <c r="A89" s="1">
        <v>3</v>
      </c>
      <c r="B89" s="2" t="s">
        <v>38</v>
      </c>
      <c r="C89" s="3" t="s">
        <v>72</v>
      </c>
      <c r="D89" s="95" t="s">
        <v>71</v>
      </c>
      <c r="E89" s="94">
        <f t="shared" si="4"/>
        <v>16.09</v>
      </c>
      <c r="F89" s="93">
        <v>12</v>
      </c>
      <c r="G89" s="93">
        <f t="shared" si="5"/>
        <v>193.07999999999998</v>
      </c>
      <c r="H89" s="63"/>
      <c r="I89" s="60"/>
      <c r="J89" s="42"/>
      <c r="K89" s="100"/>
      <c r="L89" s="68"/>
      <c r="M89" s="70"/>
      <c r="N89" s="51">
        <v>16.09</v>
      </c>
      <c r="O89" s="52">
        <f>6*1.3</f>
        <v>7.8000000000000007</v>
      </c>
      <c r="P89" s="52">
        <f>10*1.3</f>
        <v>13</v>
      </c>
      <c r="Q89" s="52">
        <v>12</v>
      </c>
    </row>
    <row r="90" spans="1:17" ht="110.4" x14ac:dyDescent="0.3">
      <c r="A90" s="1">
        <v>3</v>
      </c>
      <c r="B90" s="2" t="s">
        <v>40</v>
      </c>
      <c r="C90" s="3" t="s">
        <v>73</v>
      </c>
      <c r="D90" s="95" t="s">
        <v>25</v>
      </c>
      <c r="E90" s="94">
        <f t="shared" si="4"/>
        <v>29.119999999999997</v>
      </c>
      <c r="F90" s="93">
        <v>250</v>
      </c>
      <c r="G90" s="93">
        <f t="shared" si="5"/>
        <v>7279.9999999999991</v>
      </c>
      <c r="H90" s="63"/>
      <c r="I90" s="60"/>
      <c r="J90" s="42">
        <f>6.72+11.2+11.2</f>
        <v>29.119999999999997</v>
      </c>
      <c r="K90" s="100"/>
      <c r="L90" s="68"/>
      <c r="M90" s="70"/>
      <c r="N90" s="51"/>
      <c r="O90" s="52">
        <f>20*1.3</f>
        <v>26</v>
      </c>
      <c r="P90" s="52">
        <f>130*1.3</f>
        <v>169</v>
      </c>
      <c r="Q90" s="52">
        <v>250</v>
      </c>
    </row>
    <row r="91" spans="1:17" ht="110.4" x14ac:dyDescent="0.3">
      <c r="A91" s="1">
        <v>3</v>
      </c>
      <c r="B91" s="2" t="s">
        <v>42</v>
      </c>
      <c r="C91" s="3" t="s">
        <v>74</v>
      </c>
      <c r="D91" s="95" t="s">
        <v>25</v>
      </c>
      <c r="E91" s="94">
        <f t="shared" si="4"/>
        <v>11.77</v>
      </c>
      <c r="F91" s="93">
        <v>300</v>
      </c>
      <c r="G91" s="93">
        <f t="shared" si="5"/>
        <v>3531</v>
      </c>
      <c r="H91" s="63"/>
      <c r="I91" s="60"/>
      <c r="J91" s="42"/>
      <c r="K91" s="100"/>
      <c r="L91" s="68"/>
      <c r="M91" s="70"/>
      <c r="N91" s="51">
        <f>11.77</f>
        <v>11.77</v>
      </c>
      <c r="O91" s="52">
        <f>20*1.3</f>
        <v>26</v>
      </c>
      <c r="P91" s="52">
        <f>140*1.3</f>
        <v>182</v>
      </c>
      <c r="Q91" s="52">
        <v>300</v>
      </c>
    </row>
    <row r="92" spans="1:17" ht="138" x14ac:dyDescent="0.3">
      <c r="A92" s="1">
        <v>3</v>
      </c>
      <c r="B92" s="2" t="s">
        <v>44</v>
      </c>
      <c r="C92" s="3" t="s">
        <v>75</v>
      </c>
      <c r="D92" s="95" t="s">
        <v>37</v>
      </c>
      <c r="E92" s="94">
        <f t="shared" si="4"/>
        <v>2.9120000000000004</v>
      </c>
      <c r="F92" s="93">
        <v>1450</v>
      </c>
      <c r="G92" s="93">
        <f t="shared" si="5"/>
        <v>4222.4000000000005</v>
      </c>
      <c r="H92" s="63"/>
      <c r="I92" s="60"/>
      <c r="J92" s="42">
        <f>0.672+1.12+1.12</f>
        <v>2.9120000000000004</v>
      </c>
      <c r="K92" s="100"/>
      <c r="L92" s="68"/>
      <c r="M92" s="70"/>
      <c r="N92" s="51"/>
      <c r="O92" s="52">
        <f>570*1.3</f>
        <v>741</v>
      </c>
      <c r="P92" s="52">
        <f>200*1.3</f>
        <v>260</v>
      </c>
      <c r="Q92" s="52">
        <v>1800</v>
      </c>
    </row>
    <row r="93" spans="1:17" ht="151.80000000000001" x14ac:dyDescent="0.3">
      <c r="A93" s="1">
        <v>3</v>
      </c>
      <c r="B93" s="2" t="s">
        <v>46</v>
      </c>
      <c r="C93" s="3" t="s">
        <v>76</v>
      </c>
      <c r="D93" s="95" t="s">
        <v>37</v>
      </c>
      <c r="E93" s="94">
        <f t="shared" si="4"/>
        <v>1.63</v>
      </c>
      <c r="F93" s="93">
        <v>1600</v>
      </c>
      <c r="G93" s="93">
        <f t="shared" si="5"/>
        <v>2608</v>
      </c>
      <c r="H93" s="63"/>
      <c r="I93" s="60"/>
      <c r="J93" s="42"/>
      <c r="K93" s="100"/>
      <c r="L93" s="68"/>
      <c r="M93" s="70"/>
      <c r="N93" s="51">
        <v>1.63</v>
      </c>
      <c r="O93" s="52">
        <f>470*1.3</f>
        <v>611</v>
      </c>
      <c r="P93" s="52">
        <f>200*1.3</f>
        <v>260</v>
      </c>
      <c r="Q93" s="52">
        <v>1900</v>
      </c>
    </row>
    <row r="94" spans="1:17" ht="179.4" x14ac:dyDescent="0.3">
      <c r="A94" s="1">
        <v>3</v>
      </c>
      <c r="B94" s="2" t="s">
        <v>48</v>
      </c>
      <c r="C94" s="45" t="s">
        <v>313</v>
      </c>
      <c r="D94" s="95" t="s">
        <v>29</v>
      </c>
      <c r="E94" s="47">
        <f t="shared" si="4"/>
        <v>7</v>
      </c>
      <c r="F94" s="93">
        <f t="shared" ref="F94:F104" si="6">O94</f>
        <v>22000</v>
      </c>
      <c r="G94" s="93">
        <f>$E94*$F94</f>
        <v>154000</v>
      </c>
      <c r="H94" s="63"/>
      <c r="I94" s="60"/>
      <c r="J94" s="42"/>
      <c r="K94" s="100"/>
      <c r="L94" s="68"/>
      <c r="M94" s="70"/>
      <c r="N94" s="51">
        <v>7</v>
      </c>
      <c r="O94" s="52">
        <f>22000</f>
        <v>22000</v>
      </c>
      <c r="P94" s="52"/>
      <c r="Q94" s="52">
        <v>9000</v>
      </c>
    </row>
    <row r="95" spans="1:17" ht="179.4" x14ac:dyDescent="0.3">
      <c r="A95" s="1">
        <v>3</v>
      </c>
      <c r="B95" s="2" t="s">
        <v>50</v>
      </c>
      <c r="C95" s="45" t="s">
        <v>314</v>
      </c>
      <c r="D95" s="95" t="s">
        <v>29</v>
      </c>
      <c r="E95" s="47">
        <f t="shared" si="4"/>
        <v>2</v>
      </c>
      <c r="F95" s="93">
        <f t="shared" si="6"/>
        <v>14520</v>
      </c>
      <c r="G95" s="93">
        <f t="shared" ref="G95:G105" si="7">$E95*$F95</f>
        <v>29040</v>
      </c>
      <c r="H95" s="63"/>
      <c r="I95" s="60"/>
      <c r="J95" s="42"/>
      <c r="K95" s="100"/>
      <c r="L95" s="68"/>
      <c r="M95" s="70"/>
      <c r="N95" s="51">
        <v>2</v>
      </c>
      <c r="O95" s="52">
        <f>12100*1.2</f>
        <v>14520</v>
      </c>
      <c r="P95" s="52"/>
      <c r="Q95" s="52">
        <v>9000</v>
      </c>
    </row>
    <row r="96" spans="1:17" ht="179.4" x14ac:dyDescent="0.3">
      <c r="A96" s="1">
        <v>3</v>
      </c>
      <c r="B96" s="2" t="s">
        <v>51</v>
      </c>
      <c r="C96" s="45" t="s">
        <v>315</v>
      </c>
      <c r="D96" s="95" t="s">
        <v>29</v>
      </c>
      <c r="E96" s="47">
        <f t="shared" si="4"/>
        <v>1</v>
      </c>
      <c r="F96" s="93">
        <f t="shared" si="6"/>
        <v>12000</v>
      </c>
      <c r="G96" s="93">
        <f t="shared" si="7"/>
        <v>12000</v>
      </c>
      <c r="H96" s="63"/>
      <c r="I96" s="60"/>
      <c r="J96" s="42"/>
      <c r="K96" s="100"/>
      <c r="L96" s="68"/>
      <c r="M96" s="70"/>
      <c r="N96" s="51">
        <v>1</v>
      </c>
      <c r="O96" s="52">
        <f>12000</f>
        <v>12000</v>
      </c>
      <c r="P96" s="52"/>
      <c r="Q96" s="52">
        <v>9000</v>
      </c>
    </row>
    <row r="97" spans="1:17" ht="179.4" x14ac:dyDescent="0.3">
      <c r="A97" s="1">
        <v>3</v>
      </c>
      <c r="B97" s="2" t="s">
        <v>53</v>
      </c>
      <c r="C97" s="45" t="s">
        <v>316</v>
      </c>
      <c r="D97" s="95" t="s">
        <v>29</v>
      </c>
      <c r="E97" s="94">
        <f t="shared" si="4"/>
        <v>1</v>
      </c>
      <c r="F97" s="93">
        <f t="shared" si="6"/>
        <v>10500</v>
      </c>
      <c r="G97" s="93">
        <f t="shared" si="7"/>
        <v>10500</v>
      </c>
      <c r="H97" s="63"/>
      <c r="I97" s="60"/>
      <c r="J97" s="42"/>
      <c r="K97" s="100"/>
      <c r="L97" s="68"/>
      <c r="M97" s="70"/>
      <c r="N97" s="51">
        <v>1</v>
      </c>
      <c r="O97" s="52">
        <f>10500</f>
        <v>10500</v>
      </c>
      <c r="P97" s="52"/>
      <c r="Q97" s="52">
        <v>5000</v>
      </c>
    </row>
    <row r="98" spans="1:17" ht="151.80000000000001" x14ac:dyDescent="0.3">
      <c r="A98" s="1">
        <v>3</v>
      </c>
      <c r="B98" s="2" t="s">
        <v>55</v>
      </c>
      <c r="C98" s="45" t="s">
        <v>317</v>
      </c>
      <c r="D98" s="95" t="s">
        <v>29</v>
      </c>
      <c r="E98" s="94">
        <f t="shared" si="4"/>
        <v>1</v>
      </c>
      <c r="F98" s="93">
        <f t="shared" si="6"/>
        <v>6000</v>
      </c>
      <c r="G98" s="93">
        <f t="shared" si="7"/>
        <v>6000</v>
      </c>
      <c r="H98" s="63"/>
      <c r="I98" s="60"/>
      <c r="J98" s="42"/>
      <c r="K98" s="100"/>
      <c r="L98" s="68"/>
      <c r="M98" s="70"/>
      <c r="N98" s="51">
        <v>1</v>
      </c>
      <c r="O98" s="52">
        <v>6000</v>
      </c>
      <c r="P98" s="52"/>
      <c r="Q98" s="52">
        <v>5000</v>
      </c>
    </row>
    <row r="99" spans="1:17" ht="179.4" x14ac:dyDescent="0.3">
      <c r="A99" s="1">
        <v>3</v>
      </c>
      <c r="B99" s="2" t="s">
        <v>57</v>
      </c>
      <c r="C99" s="45" t="s">
        <v>322</v>
      </c>
      <c r="D99" s="95" t="s">
        <v>29</v>
      </c>
      <c r="E99" s="94">
        <f t="shared" si="4"/>
        <v>3</v>
      </c>
      <c r="F99" s="93">
        <f t="shared" si="6"/>
        <v>10000</v>
      </c>
      <c r="G99" s="93">
        <f t="shared" si="7"/>
        <v>30000</v>
      </c>
      <c r="H99" s="63"/>
      <c r="I99" s="60"/>
      <c r="J99" s="42"/>
      <c r="K99" s="100"/>
      <c r="L99" s="68"/>
      <c r="M99" s="70"/>
      <c r="N99" s="51">
        <v>3</v>
      </c>
      <c r="O99" s="52">
        <v>10000</v>
      </c>
      <c r="P99" s="52"/>
      <c r="Q99" s="52">
        <v>5000</v>
      </c>
    </row>
    <row r="100" spans="1:17" ht="179.4" x14ac:dyDescent="0.3">
      <c r="A100" s="1">
        <v>3</v>
      </c>
      <c r="B100" s="2" t="s">
        <v>58</v>
      </c>
      <c r="C100" s="45" t="s">
        <v>318</v>
      </c>
      <c r="D100" s="95" t="s">
        <v>29</v>
      </c>
      <c r="E100" s="94">
        <f t="shared" si="4"/>
        <v>2</v>
      </c>
      <c r="F100" s="93">
        <f t="shared" si="6"/>
        <v>13000</v>
      </c>
      <c r="G100" s="93">
        <f t="shared" si="7"/>
        <v>26000</v>
      </c>
      <c r="H100" s="63"/>
      <c r="I100" s="60"/>
      <c r="J100" s="42"/>
      <c r="K100" s="100"/>
      <c r="L100" s="68"/>
      <c r="M100" s="70"/>
      <c r="N100" s="51">
        <v>2</v>
      </c>
      <c r="O100" s="52">
        <v>13000</v>
      </c>
      <c r="P100" s="52"/>
      <c r="Q100" s="52">
        <v>5000</v>
      </c>
    </row>
    <row r="101" spans="1:17" ht="179.4" x14ac:dyDescent="0.3">
      <c r="A101" s="1">
        <v>3</v>
      </c>
      <c r="B101" s="2" t="s">
        <v>60</v>
      </c>
      <c r="C101" s="45" t="s">
        <v>319</v>
      </c>
      <c r="D101" s="95" t="s">
        <v>29</v>
      </c>
      <c r="E101" s="94">
        <f t="shared" si="4"/>
        <v>1</v>
      </c>
      <c r="F101" s="93">
        <f t="shared" si="6"/>
        <v>12500</v>
      </c>
      <c r="G101" s="93">
        <f t="shared" si="7"/>
        <v>12500</v>
      </c>
      <c r="H101" s="63"/>
      <c r="I101" s="60"/>
      <c r="J101" s="42"/>
      <c r="K101" s="100"/>
      <c r="L101" s="68"/>
      <c r="M101" s="70"/>
      <c r="N101" s="51">
        <v>1</v>
      </c>
      <c r="O101" s="52">
        <v>12500</v>
      </c>
      <c r="P101" s="52"/>
      <c r="Q101" s="52">
        <v>5000</v>
      </c>
    </row>
    <row r="102" spans="1:17" ht="179.4" x14ac:dyDescent="0.3">
      <c r="A102" s="1">
        <v>3</v>
      </c>
      <c r="B102" s="2" t="s">
        <v>77</v>
      </c>
      <c r="C102" s="45" t="s">
        <v>321</v>
      </c>
      <c r="D102" s="95" t="s">
        <v>29</v>
      </c>
      <c r="E102" s="94">
        <f t="shared" si="4"/>
        <v>1</v>
      </c>
      <c r="F102" s="93">
        <f t="shared" si="6"/>
        <v>9000</v>
      </c>
      <c r="G102" s="93">
        <f t="shared" si="7"/>
        <v>9000</v>
      </c>
      <c r="H102" s="63"/>
      <c r="I102" s="60"/>
      <c r="J102" s="42"/>
      <c r="K102" s="100"/>
      <c r="L102" s="68"/>
      <c r="M102" s="70"/>
      <c r="N102" s="51">
        <v>1</v>
      </c>
      <c r="O102" s="52">
        <v>9000</v>
      </c>
      <c r="P102" s="52"/>
      <c r="Q102" s="52">
        <v>5000</v>
      </c>
    </row>
    <row r="103" spans="1:17" ht="179.4" x14ac:dyDescent="0.3">
      <c r="A103" s="1">
        <v>3</v>
      </c>
      <c r="B103" s="2" t="s">
        <v>78</v>
      </c>
      <c r="C103" s="45" t="s">
        <v>320</v>
      </c>
      <c r="D103" s="95" t="s">
        <v>29</v>
      </c>
      <c r="E103" s="94">
        <f t="shared" si="4"/>
        <v>1</v>
      </c>
      <c r="F103" s="93">
        <f t="shared" si="6"/>
        <v>11700</v>
      </c>
      <c r="G103" s="93">
        <f t="shared" si="7"/>
        <v>11700</v>
      </c>
      <c r="H103" s="63"/>
      <c r="I103" s="60"/>
      <c r="J103" s="42"/>
      <c r="K103" s="100"/>
      <c r="L103" s="68"/>
      <c r="M103" s="70"/>
      <c r="N103" s="51">
        <v>1</v>
      </c>
      <c r="O103" s="52">
        <f>9000*1.3</f>
        <v>11700</v>
      </c>
      <c r="P103" s="52"/>
      <c r="Q103" s="52">
        <v>5000</v>
      </c>
    </row>
    <row r="104" spans="1:17" ht="138" x14ac:dyDescent="0.3">
      <c r="A104" s="1">
        <v>3</v>
      </c>
      <c r="B104" s="2" t="s">
        <v>79</v>
      </c>
      <c r="C104" s="45" t="s">
        <v>80</v>
      </c>
      <c r="D104" s="95" t="s">
        <v>29</v>
      </c>
      <c r="E104" s="94">
        <f t="shared" si="4"/>
        <v>1</v>
      </c>
      <c r="F104" s="93">
        <f t="shared" si="6"/>
        <v>3960</v>
      </c>
      <c r="G104" s="93">
        <f t="shared" si="7"/>
        <v>3960</v>
      </c>
      <c r="H104" s="63"/>
      <c r="I104" s="60"/>
      <c r="J104" s="42"/>
      <c r="K104" s="100"/>
      <c r="L104" s="68"/>
      <c r="M104" s="70"/>
      <c r="N104" s="51">
        <v>1</v>
      </c>
      <c r="O104" s="52">
        <f>3300*1.2</f>
        <v>3960</v>
      </c>
      <c r="P104" s="52"/>
      <c r="Q104" s="52">
        <v>5000</v>
      </c>
    </row>
    <row r="105" spans="1:17" ht="124.2" x14ac:dyDescent="0.3">
      <c r="A105" s="1">
        <v>3</v>
      </c>
      <c r="B105" s="2" t="s">
        <v>81</v>
      </c>
      <c r="C105" s="45" t="s">
        <v>82</v>
      </c>
      <c r="D105" s="95" t="s">
        <v>10</v>
      </c>
      <c r="E105" s="94">
        <f t="shared" si="4"/>
        <v>1</v>
      </c>
      <c r="F105" s="44">
        <v>82800</v>
      </c>
      <c r="G105" s="93">
        <f t="shared" si="7"/>
        <v>82800</v>
      </c>
      <c r="H105" s="63">
        <v>1</v>
      </c>
      <c r="I105" s="60"/>
      <c r="J105" s="42"/>
      <c r="K105" s="100"/>
      <c r="L105" s="68"/>
      <c r="M105" s="70"/>
      <c r="N105" s="51"/>
      <c r="O105" s="52">
        <f>15.55*3.55*1500</f>
        <v>82803.75</v>
      </c>
      <c r="P105" s="52"/>
      <c r="Q105" s="52">
        <v>18000</v>
      </c>
    </row>
    <row r="106" spans="1:17" x14ac:dyDescent="0.3">
      <c r="A106" s="28" t="s">
        <v>83</v>
      </c>
      <c r="B106" s="29"/>
      <c r="C106" s="46" t="s">
        <v>84</v>
      </c>
      <c r="D106" s="31"/>
      <c r="E106" s="32"/>
      <c r="F106" s="33"/>
      <c r="G106" s="33"/>
      <c r="H106" s="63"/>
      <c r="I106" s="60"/>
      <c r="J106" s="42"/>
      <c r="K106" s="100"/>
      <c r="L106" s="68"/>
      <c r="M106" s="70"/>
      <c r="N106" s="51"/>
      <c r="O106" s="52"/>
      <c r="P106" s="52"/>
      <c r="Q106" s="52"/>
    </row>
    <row r="107" spans="1:17" ht="151.80000000000001" x14ac:dyDescent="0.3">
      <c r="A107" s="1">
        <v>4</v>
      </c>
      <c r="B107" s="2" t="s">
        <v>8</v>
      </c>
      <c r="C107" s="3" t="s">
        <v>85</v>
      </c>
      <c r="D107" s="95" t="s">
        <v>25</v>
      </c>
      <c r="E107" s="94">
        <f>SUM(H107:N107)</f>
        <v>15</v>
      </c>
      <c r="F107" s="93">
        <v>216</v>
      </c>
      <c r="G107" s="93">
        <f>$E107*$F107</f>
        <v>3240</v>
      </c>
      <c r="H107" s="63"/>
      <c r="I107" s="60"/>
      <c r="J107" s="42">
        <f>5.1+5.1+4.8</f>
        <v>15</v>
      </c>
      <c r="K107" s="100"/>
      <c r="L107" s="68"/>
      <c r="M107" s="70"/>
      <c r="N107" s="51"/>
      <c r="O107" s="52">
        <f>100*1.3+200*1.3+2*1.3+50*1.3</f>
        <v>457.6</v>
      </c>
      <c r="P107" s="52"/>
      <c r="Q107" s="52">
        <v>90</v>
      </c>
    </row>
    <row r="108" spans="1:17" ht="179.4" x14ac:dyDescent="0.3">
      <c r="A108" s="1">
        <v>4</v>
      </c>
      <c r="B108" s="2" t="s">
        <v>11</v>
      </c>
      <c r="C108" s="3" t="s">
        <v>86</v>
      </c>
      <c r="D108" s="95" t="s">
        <v>25</v>
      </c>
      <c r="E108" s="94">
        <f>SUM(H108:N108)</f>
        <v>5</v>
      </c>
      <c r="F108" s="93">
        <v>300</v>
      </c>
      <c r="G108" s="93">
        <f>$E108*$F108</f>
        <v>1500</v>
      </c>
      <c r="H108" s="63"/>
      <c r="I108" s="60"/>
      <c r="J108" s="42"/>
      <c r="K108" s="100"/>
      <c r="L108" s="68"/>
      <c r="M108" s="70"/>
      <c r="N108" s="51">
        <v>5</v>
      </c>
      <c r="O108" s="52"/>
      <c r="P108" s="52">
        <f>120*1.3</f>
        <v>156</v>
      </c>
      <c r="Q108" s="52">
        <v>210</v>
      </c>
    </row>
    <row r="109" spans="1:17" s="52" customFormat="1" ht="248.4" x14ac:dyDescent="0.3">
      <c r="A109" s="8">
        <v>4</v>
      </c>
      <c r="B109" s="9" t="s">
        <v>13</v>
      </c>
      <c r="C109" s="83" t="s">
        <v>138</v>
      </c>
      <c r="D109" s="11" t="s">
        <v>18</v>
      </c>
      <c r="E109" s="94">
        <f>SUM(H109:N109)</f>
        <v>35</v>
      </c>
      <c r="F109" s="14">
        <v>450</v>
      </c>
      <c r="G109" s="14">
        <f t="shared" ref="G109" si="8">$E109*$F109</f>
        <v>15750</v>
      </c>
      <c r="H109" s="81"/>
      <c r="I109" s="40"/>
      <c r="J109" s="41"/>
      <c r="K109" s="100"/>
      <c r="L109" s="43"/>
      <c r="N109" s="53">
        <v>35</v>
      </c>
      <c r="O109" s="52">
        <v>200</v>
      </c>
    </row>
    <row r="110" spans="1:17" x14ac:dyDescent="0.3">
      <c r="A110" s="28" t="s">
        <v>87</v>
      </c>
      <c r="B110" s="29"/>
      <c r="C110" s="46" t="s">
        <v>88</v>
      </c>
      <c r="D110" s="31"/>
      <c r="E110" s="32"/>
      <c r="F110" s="33"/>
      <c r="G110" s="33"/>
      <c r="H110" s="63"/>
      <c r="I110" s="60"/>
      <c r="J110" s="42"/>
      <c r="K110" s="100"/>
      <c r="L110" s="68"/>
      <c r="M110" s="70"/>
      <c r="N110" s="51"/>
      <c r="O110" s="52"/>
      <c r="P110" s="52"/>
      <c r="Q110" s="52"/>
    </row>
    <row r="111" spans="1:17" ht="207" x14ac:dyDescent="0.3">
      <c r="A111" s="1">
        <v>5</v>
      </c>
      <c r="B111" s="2" t="s">
        <v>8</v>
      </c>
      <c r="C111" s="3" t="s">
        <v>89</v>
      </c>
      <c r="D111" s="95" t="s">
        <v>25</v>
      </c>
      <c r="E111" s="94">
        <f t="shared" ref="E111:E117" si="9">SUM(H111:N111)</f>
        <v>71.05</v>
      </c>
      <c r="F111" s="93">
        <v>210</v>
      </c>
      <c r="G111" s="93">
        <f>$E111*$F111</f>
        <v>14920.5</v>
      </c>
      <c r="H111" s="63">
        <v>16.399999999999999</v>
      </c>
      <c r="I111" s="60">
        <v>54.65</v>
      </c>
      <c r="J111" s="42"/>
      <c r="K111" s="100"/>
      <c r="L111" s="68"/>
      <c r="M111" s="70"/>
      <c r="N111" s="51"/>
      <c r="O111" s="52"/>
      <c r="P111" s="52">
        <f>120*1.3</f>
        <v>156</v>
      </c>
      <c r="Q111" s="52">
        <v>210</v>
      </c>
    </row>
    <row r="112" spans="1:17" ht="207" x14ac:dyDescent="0.3">
      <c r="A112" s="1">
        <v>5</v>
      </c>
      <c r="B112" s="2" t="s">
        <v>11</v>
      </c>
      <c r="C112" s="3" t="s">
        <v>440</v>
      </c>
      <c r="D112" s="95" t="s">
        <v>25</v>
      </c>
      <c r="E112" s="94">
        <f t="shared" si="9"/>
        <v>1057.77</v>
      </c>
      <c r="F112" s="93">
        <f>P112</f>
        <v>168</v>
      </c>
      <c r="G112" s="93">
        <f>$E112*$F112</f>
        <v>177705.36</v>
      </c>
      <c r="H112" s="63">
        <f>329.25+12.44</f>
        <v>341.69</v>
      </c>
      <c r="I112" s="60">
        <v>459.65</v>
      </c>
      <c r="J112" s="42">
        <f>46.18+50.34+50.05</f>
        <v>146.57</v>
      </c>
      <c r="K112" s="100"/>
      <c r="L112" s="68"/>
      <c r="M112" s="70"/>
      <c r="N112" s="51">
        <f>9.6+9+17.66+11.36+10.36+12.04+12.44+7.64+19.76</f>
        <v>109.86000000000001</v>
      </c>
      <c r="O112" s="52"/>
      <c r="P112" s="52">
        <f>110*1.3+25</f>
        <v>168</v>
      </c>
      <c r="Q112" s="52">
        <v>200</v>
      </c>
    </row>
    <row r="113" spans="1:26" ht="165.6" x14ac:dyDescent="0.3">
      <c r="A113" s="1">
        <v>5</v>
      </c>
      <c r="B113" s="2" t="s">
        <v>13</v>
      </c>
      <c r="C113" s="3" t="s">
        <v>90</v>
      </c>
      <c r="D113" s="95" t="s">
        <v>25</v>
      </c>
      <c r="E113" s="94">
        <f t="shared" si="9"/>
        <v>199.52</v>
      </c>
      <c r="F113" s="93">
        <f>P113</f>
        <v>429</v>
      </c>
      <c r="G113" s="93">
        <f>$E113*$F113</f>
        <v>85594.08</v>
      </c>
      <c r="H113" s="63"/>
      <c r="I113" s="60"/>
      <c r="J113" s="42">
        <f>92.04+92.04+15.44</f>
        <v>199.52</v>
      </c>
      <c r="K113" s="100"/>
      <c r="L113" s="68"/>
      <c r="M113" s="70"/>
      <c r="N113" s="51"/>
      <c r="O113" s="52"/>
      <c r="P113" s="52">
        <f>330*1.3</f>
        <v>429</v>
      </c>
      <c r="Q113" s="52">
        <v>380</v>
      </c>
    </row>
    <row r="114" spans="1:26" ht="151.80000000000001" x14ac:dyDescent="0.3">
      <c r="A114" s="1">
        <v>5</v>
      </c>
      <c r="B114" s="2" t="s">
        <v>26</v>
      </c>
      <c r="C114" s="3" t="s">
        <v>85</v>
      </c>
      <c r="D114" s="95" t="s">
        <v>25</v>
      </c>
      <c r="E114" s="94">
        <f t="shared" si="9"/>
        <v>15</v>
      </c>
      <c r="F114" s="93">
        <v>216</v>
      </c>
      <c r="G114" s="93">
        <f>$E114*$F114</f>
        <v>3240</v>
      </c>
      <c r="H114" s="63"/>
      <c r="I114" s="60"/>
      <c r="J114" s="42">
        <f>5.1+5.1+4.8</f>
        <v>15</v>
      </c>
      <c r="K114" s="100"/>
      <c r="L114" s="68"/>
      <c r="M114" s="70"/>
      <c r="N114" s="51"/>
      <c r="O114" s="52">
        <f>100*1.3+200*1.3+2*1.3+50*1.3</f>
        <v>457.6</v>
      </c>
      <c r="P114" s="52"/>
      <c r="Q114" s="52">
        <v>90</v>
      </c>
    </row>
    <row r="115" spans="1:26" ht="165.6" x14ac:dyDescent="0.3">
      <c r="A115" s="1">
        <v>5</v>
      </c>
      <c r="B115" s="2" t="s">
        <v>28</v>
      </c>
      <c r="C115" s="3" t="s">
        <v>91</v>
      </c>
      <c r="D115" s="95" t="s">
        <v>25</v>
      </c>
      <c r="E115" s="94">
        <f t="shared" si="9"/>
        <v>53.389999999999993</v>
      </c>
      <c r="F115" s="93">
        <f>O115</f>
        <v>221</v>
      </c>
      <c r="G115" s="93">
        <f>$E115*$F115</f>
        <v>11799.189999999999</v>
      </c>
      <c r="H115" s="63"/>
      <c r="I115" s="60"/>
      <c r="J115" s="42">
        <f>3.04+2.76+2.82</f>
        <v>8.6199999999999992</v>
      </c>
      <c r="K115" s="100"/>
      <c r="L115" s="68"/>
      <c r="M115" s="70"/>
      <c r="N115" s="51">
        <f>4.8+4.5+8.61+5.18+5.68+6.02+9.98</f>
        <v>44.769999999999996</v>
      </c>
      <c r="O115" s="52">
        <f>170*1.3</f>
        <v>221</v>
      </c>
      <c r="P115" s="52"/>
      <c r="Q115" s="52">
        <v>200</v>
      </c>
    </row>
    <row r="116" spans="1:26" ht="124.2" x14ac:dyDescent="0.3">
      <c r="A116" s="1">
        <v>5</v>
      </c>
      <c r="B116" s="2" t="s">
        <v>30</v>
      </c>
      <c r="C116" s="45" t="s">
        <v>92</v>
      </c>
      <c r="D116" s="95" t="s">
        <v>25</v>
      </c>
      <c r="E116" s="94">
        <f t="shared" si="9"/>
        <v>5.31</v>
      </c>
      <c r="F116" s="93">
        <v>630</v>
      </c>
      <c r="G116" s="93">
        <f>E116*F116</f>
        <v>3345.2999999999997</v>
      </c>
      <c r="H116" s="63"/>
      <c r="I116" s="60"/>
      <c r="J116" s="42"/>
      <c r="K116" s="100"/>
      <c r="L116" s="68"/>
      <c r="M116" s="70"/>
      <c r="N116" s="51">
        <v>5.31</v>
      </c>
      <c r="O116" s="52"/>
      <c r="P116" s="52"/>
      <c r="Q116" s="52"/>
    </row>
    <row r="117" spans="1:26" ht="124.2" x14ac:dyDescent="0.3">
      <c r="A117" s="1">
        <v>5</v>
      </c>
      <c r="B117" s="2" t="s">
        <v>31</v>
      </c>
      <c r="C117" s="45" t="s">
        <v>93</v>
      </c>
      <c r="D117" s="95" t="s">
        <v>18</v>
      </c>
      <c r="E117" s="94">
        <f t="shared" si="9"/>
        <v>17.739999999999998</v>
      </c>
      <c r="F117" s="93">
        <v>55</v>
      </c>
      <c r="G117" s="93">
        <f>E117*F117</f>
        <v>975.69999999999993</v>
      </c>
      <c r="H117" s="63"/>
      <c r="I117" s="60"/>
      <c r="J117" s="42"/>
      <c r="K117" s="100"/>
      <c r="L117" s="68"/>
      <c r="M117" s="70"/>
      <c r="N117" s="51">
        <f>2.12+1.22+3.68+2.36+3.56+1.36+3.44</f>
        <v>17.739999999999998</v>
      </c>
      <c r="O117" s="52"/>
      <c r="P117" s="52"/>
      <c r="Q117" s="52"/>
    </row>
    <row r="118" spans="1:26" x14ac:dyDescent="0.3">
      <c r="A118" s="28" t="s">
        <v>94</v>
      </c>
      <c r="B118" s="29"/>
      <c r="C118" s="46" t="s">
        <v>118</v>
      </c>
      <c r="D118" s="31"/>
      <c r="E118" s="32"/>
      <c r="F118" s="33"/>
      <c r="G118" s="33"/>
      <c r="H118" s="63"/>
      <c r="I118" s="60"/>
      <c r="J118" s="42"/>
      <c r="K118" s="100"/>
      <c r="L118" s="68"/>
      <c r="M118" s="70"/>
      <c r="N118" s="51"/>
      <c r="O118" s="52"/>
      <c r="P118" s="52"/>
      <c r="Q118" s="52"/>
    </row>
    <row r="119" spans="1:26" s="52" customFormat="1" ht="96.6" x14ac:dyDescent="0.3">
      <c r="A119" s="1">
        <v>6</v>
      </c>
      <c r="B119" s="2" t="s">
        <v>8</v>
      </c>
      <c r="C119" s="80" t="s">
        <v>119</v>
      </c>
      <c r="D119" s="95" t="s">
        <v>10</v>
      </c>
      <c r="E119" s="94">
        <f>SUM(H119:N119)</f>
        <v>1</v>
      </c>
      <c r="F119" s="93">
        <v>1500</v>
      </c>
      <c r="G119" s="93">
        <f t="shared" ref="G119:G149" si="10">E119*F119</f>
        <v>1500</v>
      </c>
      <c r="H119" s="81"/>
      <c r="I119" s="40"/>
      <c r="J119" s="41"/>
      <c r="K119" s="100"/>
      <c r="L119" s="68">
        <v>1</v>
      </c>
      <c r="N119" s="53"/>
      <c r="Z119" s="14"/>
    </row>
    <row r="120" spans="1:26" s="52" customFormat="1" ht="138" x14ac:dyDescent="0.3">
      <c r="A120" s="1">
        <v>6</v>
      </c>
      <c r="B120" s="2" t="s">
        <v>11</v>
      </c>
      <c r="C120" s="80" t="s">
        <v>120</v>
      </c>
      <c r="D120" s="95" t="s">
        <v>29</v>
      </c>
      <c r="E120" s="94">
        <f t="shared" ref="E120:E136" si="11">SUM(H120:N120)</f>
        <v>3</v>
      </c>
      <c r="F120" s="93">
        <v>350</v>
      </c>
      <c r="G120" s="93">
        <f t="shared" si="10"/>
        <v>1050</v>
      </c>
      <c r="H120" s="81"/>
      <c r="I120" s="40"/>
      <c r="J120" s="41"/>
      <c r="K120" s="100"/>
      <c r="L120" s="68">
        <v>3</v>
      </c>
      <c r="N120" s="53"/>
    </row>
    <row r="121" spans="1:26" s="52" customFormat="1" ht="96.6" x14ac:dyDescent="0.3">
      <c r="A121" s="1">
        <v>6</v>
      </c>
      <c r="B121" s="2" t="s">
        <v>13</v>
      </c>
      <c r="C121" s="80" t="s">
        <v>121</v>
      </c>
      <c r="D121" s="95" t="s">
        <v>10</v>
      </c>
      <c r="E121" s="94">
        <f t="shared" si="11"/>
        <v>1</v>
      </c>
      <c r="F121" s="93">
        <v>1400</v>
      </c>
      <c r="G121" s="93">
        <f t="shared" si="10"/>
        <v>1400</v>
      </c>
      <c r="H121" s="81"/>
      <c r="I121" s="40"/>
      <c r="J121" s="41"/>
      <c r="K121" s="100"/>
      <c r="L121" s="68">
        <v>1</v>
      </c>
      <c r="N121" s="53"/>
    </row>
    <row r="122" spans="1:26" s="52" customFormat="1" ht="96.6" x14ac:dyDescent="0.3">
      <c r="A122" s="1">
        <v>6</v>
      </c>
      <c r="B122" s="2" t="s">
        <v>26</v>
      </c>
      <c r="C122" s="80" t="s">
        <v>122</v>
      </c>
      <c r="D122" s="95" t="s">
        <v>10</v>
      </c>
      <c r="E122" s="94">
        <f t="shared" si="11"/>
        <v>2</v>
      </c>
      <c r="F122" s="93">
        <v>250</v>
      </c>
      <c r="G122" s="93">
        <f t="shared" si="10"/>
        <v>500</v>
      </c>
      <c r="H122" s="81"/>
      <c r="I122" s="40"/>
      <c r="J122" s="41"/>
      <c r="K122" s="100"/>
      <c r="L122" s="68"/>
      <c r="N122" s="53">
        <v>2</v>
      </c>
    </row>
    <row r="123" spans="1:26" s="52" customFormat="1" ht="124.2" x14ac:dyDescent="0.3">
      <c r="A123" s="1">
        <v>6</v>
      </c>
      <c r="B123" s="2" t="s">
        <v>28</v>
      </c>
      <c r="C123" s="80" t="s">
        <v>123</v>
      </c>
      <c r="D123" s="95" t="s">
        <v>29</v>
      </c>
      <c r="E123" s="94">
        <f t="shared" si="11"/>
        <v>2</v>
      </c>
      <c r="F123" s="93">
        <v>750</v>
      </c>
      <c r="G123" s="93">
        <f t="shared" si="10"/>
        <v>1500</v>
      </c>
      <c r="H123" s="81"/>
      <c r="I123" s="40"/>
      <c r="J123" s="41"/>
      <c r="K123" s="100"/>
      <c r="L123" s="68">
        <v>2</v>
      </c>
      <c r="N123" s="53"/>
    </row>
    <row r="124" spans="1:26" s="52" customFormat="1" ht="207" x14ac:dyDescent="0.3">
      <c r="A124" s="1">
        <v>6</v>
      </c>
      <c r="B124" s="2" t="s">
        <v>30</v>
      </c>
      <c r="C124" s="80" t="s">
        <v>124</v>
      </c>
      <c r="D124" s="95" t="s">
        <v>29</v>
      </c>
      <c r="E124" s="94">
        <f t="shared" si="11"/>
        <v>2</v>
      </c>
      <c r="F124" s="93">
        <v>200</v>
      </c>
      <c r="G124" s="93">
        <f t="shared" si="10"/>
        <v>400</v>
      </c>
      <c r="H124" s="81"/>
      <c r="I124" s="40"/>
      <c r="J124" s="41"/>
      <c r="K124" s="100"/>
      <c r="L124" s="68">
        <v>2</v>
      </c>
      <c r="N124" s="53"/>
    </row>
    <row r="125" spans="1:26" s="52" customFormat="1" ht="82.8" x14ac:dyDescent="0.3">
      <c r="A125" s="1">
        <v>6</v>
      </c>
      <c r="B125" s="2" t="s">
        <v>31</v>
      </c>
      <c r="C125" s="80" t="s">
        <v>125</v>
      </c>
      <c r="D125" s="95" t="s">
        <v>29</v>
      </c>
      <c r="E125" s="94">
        <f t="shared" si="11"/>
        <v>2</v>
      </c>
      <c r="F125" s="93">
        <v>150</v>
      </c>
      <c r="G125" s="93">
        <f t="shared" si="10"/>
        <v>300</v>
      </c>
      <c r="H125" s="81"/>
      <c r="I125" s="40"/>
      <c r="J125" s="41"/>
      <c r="K125" s="100"/>
      <c r="L125" s="68">
        <v>2</v>
      </c>
      <c r="N125" s="53"/>
    </row>
    <row r="126" spans="1:26" s="52" customFormat="1" ht="124.2" x14ac:dyDescent="0.3">
      <c r="A126" s="1">
        <v>6</v>
      </c>
      <c r="B126" s="2" t="s">
        <v>33</v>
      </c>
      <c r="C126" s="80" t="s">
        <v>126</v>
      </c>
      <c r="D126" s="95" t="s">
        <v>29</v>
      </c>
      <c r="E126" s="94">
        <f t="shared" si="11"/>
        <v>2</v>
      </c>
      <c r="F126" s="93">
        <v>100</v>
      </c>
      <c r="G126" s="93">
        <f t="shared" si="10"/>
        <v>200</v>
      </c>
      <c r="H126" s="81"/>
      <c r="I126" s="40"/>
      <c r="J126" s="41"/>
      <c r="K126" s="100"/>
      <c r="L126" s="68">
        <v>2</v>
      </c>
      <c r="N126" s="53"/>
    </row>
    <row r="127" spans="1:26" s="52" customFormat="1" ht="82.8" x14ac:dyDescent="0.3">
      <c r="A127" s="1">
        <v>6</v>
      </c>
      <c r="B127" s="2" t="s">
        <v>35</v>
      </c>
      <c r="C127" s="80" t="s">
        <v>127</v>
      </c>
      <c r="D127" s="95" t="s">
        <v>29</v>
      </c>
      <c r="E127" s="94">
        <f t="shared" si="11"/>
        <v>1</v>
      </c>
      <c r="F127" s="93">
        <v>15</v>
      </c>
      <c r="G127" s="93">
        <f t="shared" si="10"/>
        <v>15</v>
      </c>
      <c r="H127" s="81"/>
      <c r="I127" s="40"/>
      <c r="J127" s="41"/>
      <c r="K127" s="100"/>
      <c r="L127" s="68">
        <v>1</v>
      </c>
      <c r="N127" s="53"/>
    </row>
    <row r="128" spans="1:26" s="52" customFormat="1" ht="82.8" x14ac:dyDescent="0.3">
      <c r="A128" s="1">
        <v>6</v>
      </c>
      <c r="B128" s="2" t="s">
        <v>38</v>
      </c>
      <c r="C128" s="80" t="s">
        <v>128</v>
      </c>
      <c r="D128" s="95" t="s">
        <v>18</v>
      </c>
      <c r="E128" s="94">
        <f t="shared" si="11"/>
        <v>1</v>
      </c>
      <c r="F128" s="93">
        <v>50</v>
      </c>
      <c r="G128" s="93">
        <f t="shared" si="10"/>
        <v>50</v>
      </c>
      <c r="H128" s="81"/>
      <c r="I128" s="40"/>
      <c r="J128" s="41"/>
      <c r="K128" s="100"/>
      <c r="L128" s="68">
        <v>1</v>
      </c>
      <c r="N128" s="53"/>
    </row>
    <row r="129" spans="1:28" s="52" customFormat="1" ht="82.8" x14ac:dyDescent="0.3">
      <c r="A129" s="1">
        <v>6</v>
      </c>
      <c r="B129" s="2" t="s">
        <v>40</v>
      </c>
      <c r="C129" s="80" t="s">
        <v>129</v>
      </c>
      <c r="D129" s="95" t="s">
        <v>18</v>
      </c>
      <c r="E129" s="94">
        <f t="shared" si="11"/>
        <v>20</v>
      </c>
      <c r="F129" s="93">
        <v>40</v>
      </c>
      <c r="G129" s="93">
        <f t="shared" si="10"/>
        <v>800</v>
      </c>
      <c r="H129" s="81"/>
      <c r="I129" s="40"/>
      <c r="J129" s="41"/>
      <c r="K129" s="100"/>
      <c r="L129" s="68">
        <v>20</v>
      </c>
      <c r="N129" s="53"/>
    </row>
    <row r="130" spans="1:28" s="52" customFormat="1" ht="82.8" x14ac:dyDescent="0.3">
      <c r="A130" s="1">
        <v>6</v>
      </c>
      <c r="B130" s="2" t="s">
        <v>42</v>
      </c>
      <c r="C130" s="80" t="s">
        <v>130</v>
      </c>
      <c r="D130" s="95" t="s">
        <v>10</v>
      </c>
      <c r="E130" s="94">
        <f t="shared" si="11"/>
        <v>1</v>
      </c>
      <c r="F130" s="93">
        <v>1500</v>
      </c>
      <c r="G130" s="93">
        <f t="shared" si="10"/>
        <v>1500</v>
      </c>
      <c r="H130" s="81"/>
      <c r="I130" s="40"/>
      <c r="J130" s="41"/>
      <c r="K130" s="100"/>
      <c r="L130" s="68">
        <v>1</v>
      </c>
      <c r="N130" s="53"/>
    </row>
    <row r="131" spans="1:28" s="52" customFormat="1" ht="96.6" x14ac:dyDescent="0.3">
      <c r="A131" s="1">
        <v>6</v>
      </c>
      <c r="B131" s="2" t="s">
        <v>44</v>
      </c>
      <c r="C131" s="80" t="s">
        <v>131</v>
      </c>
      <c r="D131" s="95" t="s">
        <v>18</v>
      </c>
      <c r="E131" s="94">
        <f t="shared" si="11"/>
        <v>2</v>
      </c>
      <c r="F131" s="93">
        <v>30</v>
      </c>
      <c r="G131" s="93">
        <f t="shared" si="10"/>
        <v>60</v>
      </c>
      <c r="H131" s="81"/>
      <c r="I131" s="40"/>
      <c r="J131" s="41"/>
      <c r="K131" s="100"/>
      <c r="L131" s="68">
        <v>2</v>
      </c>
      <c r="N131" s="53"/>
    </row>
    <row r="132" spans="1:28" s="52" customFormat="1" ht="82.8" x14ac:dyDescent="0.3">
      <c r="A132" s="1">
        <v>6</v>
      </c>
      <c r="B132" s="2" t="s">
        <v>46</v>
      </c>
      <c r="C132" s="80" t="s">
        <v>132</v>
      </c>
      <c r="D132" s="95" t="s">
        <v>10</v>
      </c>
      <c r="E132" s="94">
        <f t="shared" si="11"/>
        <v>1</v>
      </c>
      <c r="F132" s="93">
        <v>425</v>
      </c>
      <c r="G132" s="93">
        <f t="shared" si="10"/>
        <v>425</v>
      </c>
      <c r="H132" s="81"/>
      <c r="I132" s="40"/>
      <c r="J132" s="41"/>
      <c r="K132" s="100"/>
      <c r="L132" s="68">
        <v>1</v>
      </c>
      <c r="N132" s="53"/>
    </row>
    <row r="133" spans="1:28" s="52" customFormat="1" ht="82.8" x14ac:dyDescent="0.3">
      <c r="A133" s="1">
        <v>6</v>
      </c>
      <c r="B133" s="2" t="s">
        <v>48</v>
      </c>
      <c r="C133" s="80" t="s">
        <v>133</v>
      </c>
      <c r="D133" s="95" t="s">
        <v>10</v>
      </c>
      <c r="E133" s="94">
        <f t="shared" si="11"/>
        <v>1</v>
      </c>
      <c r="F133" s="93">
        <v>200</v>
      </c>
      <c r="G133" s="93">
        <f t="shared" si="10"/>
        <v>200</v>
      </c>
      <c r="H133" s="81"/>
      <c r="I133" s="40"/>
      <c r="J133" s="41"/>
      <c r="K133" s="100"/>
      <c r="L133" s="68">
        <v>1</v>
      </c>
      <c r="N133" s="53"/>
    </row>
    <row r="134" spans="1:28" s="52" customFormat="1" ht="110.4" x14ac:dyDescent="0.3">
      <c r="A134" s="1">
        <v>6</v>
      </c>
      <c r="B134" s="2" t="s">
        <v>50</v>
      </c>
      <c r="C134" s="80" t="s">
        <v>134</v>
      </c>
      <c r="D134" s="95" t="s">
        <v>10</v>
      </c>
      <c r="E134" s="94">
        <f t="shared" si="11"/>
        <v>3</v>
      </c>
      <c r="F134" s="93">
        <v>400</v>
      </c>
      <c r="G134" s="93">
        <f t="shared" si="10"/>
        <v>1200</v>
      </c>
      <c r="H134" s="81"/>
      <c r="I134" s="40"/>
      <c r="J134" s="41"/>
      <c r="K134" s="100"/>
      <c r="L134" s="68">
        <v>3</v>
      </c>
      <c r="N134" s="53"/>
    </row>
    <row r="135" spans="1:28" s="52" customFormat="1" ht="96.6" x14ac:dyDescent="0.3">
      <c r="A135" s="1">
        <v>6</v>
      </c>
      <c r="B135" s="2" t="s">
        <v>51</v>
      </c>
      <c r="C135" s="80" t="s">
        <v>135</v>
      </c>
      <c r="D135" s="95" t="s">
        <v>10</v>
      </c>
      <c r="E135" s="94">
        <f t="shared" si="11"/>
        <v>2</v>
      </c>
      <c r="F135" s="93">
        <v>700</v>
      </c>
      <c r="G135" s="93">
        <f t="shared" si="10"/>
        <v>1400</v>
      </c>
      <c r="H135" s="81"/>
      <c r="I135" s="40"/>
      <c r="J135" s="41"/>
      <c r="K135" s="100"/>
      <c r="L135" s="68">
        <v>2</v>
      </c>
      <c r="N135" s="53"/>
    </row>
    <row r="136" spans="1:28" s="52" customFormat="1" ht="193.2" x14ac:dyDescent="0.3">
      <c r="A136" s="1">
        <v>6</v>
      </c>
      <c r="B136" s="2" t="s">
        <v>53</v>
      </c>
      <c r="C136" s="80" t="s">
        <v>136</v>
      </c>
      <c r="D136" s="95" t="s">
        <v>10</v>
      </c>
      <c r="E136" s="94">
        <f t="shared" si="11"/>
        <v>1</v>
      </c>
      <c r="F136" s="93">
        <v>5500</v>
      </c>
      <c r="G136" s="93">
        <f t="shared" si="10"/>
        <v>5500</v>
      </c>
      <c r="H136" s="81"/>
      <c r="I136" s="40"/>
      <c r="J136" s="41"/>
      <c r="K136" s="100"/>
      <c r="L136" s="68">
        <v>1</v>
      </c>
      <c r="N136" s="53"/>
    </row>
    <row r="137" spans="1:28" s="52" customFormat="1" ht="55.2" x14ac:dyDescent="0.3">
      <c r="A137" s="1">
        <v>6</v>
      </c>
      <c r="B137" s="2" t="s">
        <v>55</v>
      </c>
      <c r="C137" s="80" t="s">
        <v>137</v>
      </c>
      <c r="D137" s="95" t="s">
        <v>10</v>
      </c>
      <c r="E137" s="94">
        <f>SUM(H137:N137)</f>
        <v>1</v>
      </c>
      <c r="F137" s="93">
        <v>2000</v>
      </c>
      <c r="G137" s="93">
        <f t="shared" si="10"/>
        <v>2000</v>
      </c>
      <c r="H137" s="81"/>
      <c r="I137" s="40"/>
      <c r="J137" s="41"/>
      <c r="K137" s="100"/>
      <c r="L137" s="68">
        <v>1</v>
      </c>
      <c r="N137" s="53"/>
      <c r="P137" s="14"/>
      <c r="Y137" s="82"/>
      <c r="Z137" s="82"/>
      <c r="AA137" s="82"/>
      <c r="AB137" s="82"/>
    </row>
    <row r="138" spans="1:28" s="52" customFormat="1" ht="96.6" x14ac:dyDescent="0.3">
      <c r="A138" s="1">
        <v>6</v>
      </c>
      <c r="B138" s="2" t="s">
        <v>57</v>
      </c>
      <c r="C138" s="80" t="s">
        <v>221</v>
      </c>
      <c r="D138" s="95" t="s">
        <v>10</v>
      </c>
      <c r="E138" s="94">
        <f t="shared" ref="E138:E148" si="12">SUM(H138:N138)</f>
        <v>1</v>
      </c>
      <c r="F138" s="93">
        <v>2100</v>
      </c>
      <c r="G138" s="93">
        <f t="shared" si="10"/>
        <v>2100</v>
      </c>
      <c r="H138" s="81"/>
      <c r="I138" s="40"/>
      <c r="J138" s="41"/>
      <c r="K138" s="100">
        <v>1</v>
      </c>
      <c r="L138" s="43"/>
      <c r="N138" s="53"/>
      <c r="P138" s="14"/>
    </row>
    <row r="139" spans="1:28" s="52" customFormat="1" ht="124.2" x14ac:dyDescent="0.3">
      <c r="A139" s="1">
        <v>6</v>
      </c>
      <c r="B139" s="2" t="s">
        <v>58</v>
      </c>
      <c r="C139" s="80" t="s">
        <v>220</v>
      </c>
      <c r="D139" s="95" t="s">
        <v>29</v>
      </c>
      <c r="E139" s="94">
        <f t="shared" si="12"/>
        <v>3</v>
      </c>
      <c r="F139" s="93">
        <v>80</v>
      </c>
      <c r="G139" s="93">
        <f t="shared" si="10"/>
        <v>240</v>
      </c>
      <c r="H139" s="81"/>
      <c r="I139" s="40"/>
      <c r="J139" s="41"/>
      <c r="K139" s="100">
        <v>3</v>
      </c>
      <c r="L139" s="43"/>
      <c r="N139" s="53"/>
      <c r="P139" s="14"/>
    </row>
    <row r="140" spans="1:28" s="52" customFormat="1" ht="124.2" x14ac:dyDescent="0.3">
      <c r="A140" s="1">
        <v>6</v>
      </c>
      <c r="B140" s="2" t="s">
        <v>60</v>
      </c>
      <c r="C140" s="80" t="s">
        <v>219</v>
      </c>
      <c r="D140" s="95" t="s">
        <v>29</v>
      </c>
      <c r="E140" s="94">
        <f t="shared" si="12"/>
        <v>2</v>
      </c>
      <c r="F140" s="93">
        <v>90</v>
      </c>
      <c r="G140" s="93">
        <f t="shared" si="10"/>
        <v>180</v>
      </c>
      <c r="H140" s="81"/>
      <c r="I140" s="40"/>
      <c r="J140" s="41"/>
      <c r="K140" s="100">
        <v>2</v>
      </c>
      <c r="L140" s="43"/>
      <c r="N140" s="53"/>
      <c r="P140" s="14"/>
    </row>
    <row r="141" spans="1:28" s="52" customFormat="1" ht="124.2" x14ac:dyDescent="0.3">
      <c r="A141" s="1">
        <v>6</v>
      </c>
      <c r="B141" s="2" t="s">
        <v>77</v>
      </c>
      <c r="C141" s="80" t="s">
        <v>217</v>
      </c>
      <c r="D141" s="95" t="s">
        <v>29</v>
      </c>
      <c r="E141" s="94">
        <f t="shared" si="12"/>
        <v>1</v>
      </c>
      <c r="F141" s="93">
        <v>90</v>
      </c>
      <c r="G141" s="93">
        <f t="shared" si="10"/>
        <v>90</v>
      </c>
      <c r="H141" s="81"/>
      <c r="I141" s="40"/>
      <c r="J141" s="41"/>
      <c r="K141" s="100">
        <v>1</v>
      </c>
      <c r="L141" s="43"/>
      <c r="N141" s="53"/>
      <c r="P141" s="14"/>
    </row>
    <row r="142" spans="1:28" s="52" customFormat="1" ht="110.4" x14ac:dyDescent="0.3">
      <c r="A142" s="1">
        <v>6</v>
      </c>
      <c r="B142" s="2" t="s">
        <v>78</v>
      </c>
      <c r="C142" s="80" t="s">
        <v>215</v>
      </c>
      <c r="D142" s="95" t="s">
        <v>18</v>
      </c>
      <c r="E142" s="94">
        <f t="shared" si="12"/>
        <v>8</v>
      </c>
      <c r="F142" s="93">
        <v>30</v>
      </c>
      <c r="G142" s="93">
        <f t="shared" si="10"/>
        <v>240</v>
      </c>
      <c r="H142" s="81"/>
      <c r="I142" s="40"/>
      <c r="J142" s="41"/>
      <c r="K142" s="100">
        <v>8</v>
      </c>
      <c r="L142" s="43"/>
      <c r="N142" s="53"/>
      <c r="P142" s="14"/>
    </row>
    <row r="143" spans="1:28" s="52" customFormat="1" ht="90.75" customHeight="1" x14ac:dyDescent="0.3">
      <c r="A143" s="1">
        <v>6</v>
      </c>
      <c r="B143" s="2" t="s">
        <v>79</v>
      </c>
      <c r="C143" s="80" t="s">
        <v>213</v>
      </c>
      <c r="D143" s="95" t="s">
        <v>29</v>
      </c>
      <c r="E143" s="94">
        <f t="shared" si="12"/>
        <v>1</v>
      </c>
      <c r="F143" s="93">
        <v>80</v>
      </c>
      <c r="G143" s="93">
        <f t="shared" si="10"/>
        <v>80</v>
      </c>
      <c r="H143" s="81"/>
      <c r="I143" s="40"/>
      <c r="J143" s="41"/>
      <c r="K143" s="100">
        <v>1</v>
      </c>
      <c r="L143" s="43"/>
      <c r="N143" s="53"/>
      <c r="P143" s="14"/>
    </row>
    <row r="144" spans="1:28" s="52" customFormat="1" ht="124.2" x14ac:dyDescent="0.3">
      <c r="A144" s="1">
        <v>6</v>
      </c>
      <c r="B144" s="2" t="s">
        <v>81</v>
      </c>
      <c r="C144" s="80" t="s">
        <v>211</v>
      </c>
      <c r="D144" s="95" t="s">
        <v>29</v>
      </c>
      <c r="E144" s="94">
        <f t="shared" si="12"/>
        <v>3</v>
      </c>
      <c r="F144" s="93">
        <v>350</v>
      </c>
      <c r="G144" s="93">
        <f t="shared" si="10"/>
        <v>1050</v>
      </c>
      <c r="H144" s="81"/>
      <c r="I144" s="40"/>
      <c r="J144" s="41"/>
      <c r="K144" s="100">
        <v>3</v>
      </c>
      <c r="L144" s="43"/>
      <c r="N144" s="53"/>
      <c r="P144" s="14"/>
    </row>
    <row r="145" spans="1:46" s="52" customFormat="1" ht="110.4" x14ac:dyDescent="0.3">
      <c r="A145" s="1">
        <v>6</v>
      </c>
      <c r="B145" s="2" t="s">
        <v>218</v>
      </c>
      <c r="C145" s="80" t="s">
        <v>209</v>
      </c>
      <c r="D145" s="95" t="s">
        <v>29</v>
      </c>
      <c r="E145" s="94">
        <f t="shared" si="12"/>
        <v>2</v>
      </c>
      <c r="F145" s="93">
        <v>350</v>
      </c>
      <c r="G145" s="93">
        <f t="shared" si="10"/>
        <v>700</v>
      </c>
      <c r="H145" s="81"/>
      <c r="I145" s="40"/>
      <c r="J145" s="41"/>
      <c r="K145" s="100">
        <v>2</v>
      </c>
      <c r="L145" s="43"/>
      <c r="N145" s="53"/>
      <c r="P145" s="14"/>
    </row>
    <row r="146" spans="1:46" s="52" customFormat="1" ht="110.4" x14ac:dyDescent="0.3">
      <c r="A146" s="1">
        <v>6</v>
      </c>
      <c r="B146" s="2" t="s">
        <v>216</v>
      </c>
      <c r="C146" s="80" t="s">
        <v>207</v>
      </c>
      <c r="D146" s="95" t="s">
        <v>29</v>
      </c>
      <c r="E146" s="94">
        <f t="shared" si="12"/>
        <v>1</v>
      </c>
      <c r="F146" s="93">
        <v>350</v>
      </c>
      <c r="G146" s="93">
        <f t="shared" si="10"/>
        <v>350</v>
      </c>
      <c r="H146" s="81"/>
      <c r="I146" s="40"/>
      <c r="J146" s="41"/>
      <c r="K146" s="100">
        <v>1</v>
      </c>
      <c r="L146" s="43"/>
      <c r="N146" s="53"/>
      <c r="P146" s="14"/>
    </row>
    <row r="147" spans="1:46" s="52" customFormat="1" ht="138" x14ac:dyDescent="0.3">
      <c r="A147" s="1">
        <v>6</v>
      </c>
      <c r="B147" s="2" t="s">
        <v>214</v>
      </c>
      <c r="C147" s="80" t="s">
        <v>179</v>
      </c>
      <c r="D147" s="95" t="s">
        <v>29</v>
      </c>
      <c r="E147" s="94">
        <f t="shared" si="12"/>
        <v>8</v>
      </c>
      <c r="F147" s="93">
        <v>400</v>
      </c>
      <c r="G147" s="93">
        <f t="shared" si="10"/>
        <v>3200</v>
      </c>
      <c r="H147" s="81"/>
      <c r="I147" s="40"/>
      <c r="J147" s="41"/>
      <c r="K147" s="100">
        <v>8</v>
      </c>
      <c r="L147" s="43"/>
      <c r="N147" s="53"/>
      <c r="P147" s="14"/>
    </row>
    <row r="148" spans="1:46" s="52" customFormat="1" ht="96.6" x14ac:dyDescent="0.3">
      <c r="A148" s="1">
        <v>6</v>
      </c>
      <c r="B148" s="2" t="s">
        <v>212</v>
      </c>
      <c r="C148" s="80" t="s">
        <v>204</v>
      </c>
      <c r="D148" s="95" t="s">
        <v>29</v>
      </c>
      <c r="E148" s="94">
        <f t="shared" si="12"/>
        <v>1</v>
      </c>
      <c r="F148" s="93">
        <v>120</v>
      </c>
      <c r="G148" s="93">
        <f t="shared" si="10"/>
        <v>120</v>
      </c>
      <c r="H148" s="81"/>
      <c r="I148" s="40"/>
      <c r="J148" s="41"/>
      <c r="K148" s="100">
        <v>1</v>
      </c>
      <c r="L148" s="43"/>
      <c r="N148" s="53"/>
      <c r="P148" s="14"/>
    </row>
    <row r="149" spans="1:46" s="52" customFormat="1" ht="263.25" customHeight="1" x14ac:dyDescent="0.3">
      <c r="A149" s="306">
        <v>6</v>
      </c>
      <c r="B149" s="306" t="s">
        <v>210</v>
      </c>
      <c r="C149" s="80" t="s">
        <v>202</v>
      </c>
      <c r="D149" s="307" t="s">
        <v>10</v>
      </c>
      <c r="E149" s="308">
        <f>SUM(H149:N149)</f>
        <v>1</v>
      </c>
      <c r="F149" s="309">
        <v>35000</v>
      </c>
      <c r="G149" s="309">
        <f t="shared" si="10"/>
        <v>35000</v>
      </c>
      <c r="H149" s="81"/>
      <c r="I149" s="40"/>
      <c r="J149" s="41"/>
      <c r="K149" s="297">
        <v>1</v>
      </c>
      <c r="L149" s="43"/>
      <c r="N149" s="53"/>
      <c r="P149" s="14"/>
    </row>
    <row r="150" spans="1:46" s="52" customFormat="1" ht="240" customHeight="1" x14ac:dyDescent="0.3">
      <c r="A150" s="306"/>
      <c r="B150" s="306"/>
      <c r="C150" s="7" t="s">
        <v>201</v>
      </c>
      <c r="D150" s="307"/>
      <c r="E150" s="308"/>
      <c r="F150" s="309"/>
      <c r="G150" s="309"/>
      <c r="H150" s="81"/>
      <c r="I150" s="40"/>
      <c r="J150" s="41"/>
      <c r="K150" s="297"/>
      <c r="L150" s="43"/>
      <c r="N150" s="53"/>
      <c r="P150" s="14"/>
    </row>
    <row r="151" spans="1:46" s="52" customFormat="1" ht="96.6" x14ac:dyDescent="0.3">
      <c r="A151" s="1">
        <v>6</v>
      </c>
      <c r="B151" s="2" t="s">
        <v>208</v>
      </c>
      <c r="C151" s="80" t="s">
        <v>199</v>
      </c>
      <c r="D151" s="95" t="s">
        <v>10</v>
      </c>
      <c r="E151" s="94">
        <f>SUM(H151:N151)</f>
        <v>1</v>
      </c>
      <c r="F151" s="93">
        <v>2100</v>
      </c>
      <c r="G151" s="93">
        <f t="shared" ref="G151:G162" si="13">E151*F151</f>
        <v>2100</v>
      </c>
      <c r="H151" s="81"/>
      <c r="I151" s="40"/>
      <c r="J151" s="41"/>
      <c r="K151" s="100">
        <v>1</v>
      </c>
      <c r="L151" s="43"/>
      <c r="N151" s="53"/>
      <c r="P151" s="14"/>
    </row>
    <row r="152" spans="1:46" s="52" customFormat="1" ht="124.2" x14ac:dyDescent="0.3">
      <c r="A152" s="1">
        <v>6</v>
      </c>
      <c r="B152" s="2" t="s">
        <v>206</v>
      </c>
      <c r="C152" s="80" t="s">
        <v>197</v>
      </c>
      <c r="D152" s="95" t="s">
        <v>29</v>
      </c>
      <c r="E152" s="94">
        <f t="shared" ref="E152:E161" si="14">SUM(H152:N152)</f>
        <v>3</v>
      </c>
      <c r="F152" s="93">
        <v>80</v>
      </c>
      <c r="G152" s="93">
        <f t="shared" si="13"/>
        <v>240</v>
      </c>
      <c r="H152" s="81"/>
      <c r="I152" s="40"/>
      <c r="J152" s="41"/>
      <c r="K152" s="100">
        <v>3</v>
      </c>
      <c r="L152" s="43"/>
      <c r="N152" s="53"/>
      <c r="P152" s="14"/>
    </row>
    <row r="153" spans="1:46" s="52" customFormat="1" ht="124.2" x14ac:dyDescent="0.3">
      <c r="A153" s="1">
        <v>6</v>
      </c>
      <c r="B153" s="2" t="s">
        <v>205</v>
      </c>
      <c r="C153" s="80" t="s">
        <v>195</v>
      </c>
      <c r="D153" s="95" t="s">
        <v>29</v>
      </c>
      <c r="E153" s="94">
        <f t="shared" si="14"/>
        <v>2</v>
      </c>
      <c r="F153" s="93">
        <v>90</v>
      </c>
      <c r="G153" s="93">
        <f t="shared" si="13"/>
        <v>180</v>
      </c>
      <c r="H153" s="81"/>
      <c r="I153" s="40"/>
      <c r="J153" s="41"/>
      <c r="K153" s="100">
        <v>2</v>
      </c>
      <c r="L153" s="43"/>
      <c r="N153" s="53"/>
      <c r="P153" s="14"/>
    </row>
    <row r="154" spans="1:46" s="52" customFormat="1" ht="124.2" x14ac:dyDescent="0.3">
      <c r="A154" s="1">
        <v>6</v>
      </c>
      <c r="B154" s="2" t="s">
        <v>203</v>
      </c>
      <c r="C154" s="80" t="s">
        <v>193</v>
      </c>
      <c r="D154" s="95" t="s">
        <v>29</v>
      </c>
      <c r="E154" s="94">
        <f t="shared" si="14"/>
        <v>1</v>
      </c>
      <c r="F154" s="93">
        <v>90</v>
      </c>
      <c r="G154" s="93">
        <f t="shared" si="13"/>
        <v>90</v>
      </c>
      <c r="H154" s="81"/>
      <c r="I154" s="40"/>
      <c r="J154" s="41"/>
      <c r="K154" s="100">
        <v>1</v>
      </c>
      <c r="L154" s="43"/>
      <c r="M154" s="82"/>
      <c r="N154" s="114"/>
      <c r="O154" s="82"/>
      <c r="P154" s="115"/>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row>
    <row r="155" spans="1:46" s="52" customFormat="1" ht="110.4" x14ac:dyDescent="0.3">
      <c r="A155" s="1">
        <v>6</v>
      </c>
      <c r="B155" s="2" t="s">
        <v>200</v>
      </c>
      <c r="C155" s="80" t="s">
        <v>191</v>
      </c>
      <c r="D155" s="95" t="s">
        <v>18</v>
      </c>
      <c r="E155" s="94">
        <f t="shared" si="14"/>
        <v>8</v>
      </c>
      <c r="F155" s="93">
        <v>30</v>
      </c>
      <c r="G155" s="93">
        <f t="shared" si="13"/>
        <v>240</v>
      </c>
      <c r="H155" s="81"/>
      <c r="I155" s="40"/>
      <c r="J155" s="41"/>
      <c r="K155" s="100">
        <v>8</v>
      </c>
      <c r="L155" s="43"/>
      <c r="M155" s="82"/>
      <c r="N155" s="114"/>
      <c r="O155" s="82"/>
      <c r="P155" s="115"/>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row>
    <row r="156" spans="1:46" s="52" customFormat="1" ht="93" customHeight="1" x14ac:dyDescent="0.3">
      <c r="A156" s="1">
        <v>6</v>
      </c>
      <c r="B156" s="2" t="s">
        <v>198</v>
      </c>
      <c r="C156" s="80" t="s">
        <v>189</v>
      </c>
      <c r="D156" s="95" t="s">
        <v>29</v>
      </c>
      <c r="E156" s="94">
        <f t="shared" si="14"/>
        <v>1</v>
      </c>
      <c r="F156" s="93">
        <v>80</v>
      </c>
      <c r="G156" s="93">
        <f t="shared" si="13"/>
        <v>80</v>
      </c>
      <c r="H156" s="81"/>
      <c r="I156" s="40"/>
      <c r="J156" s="41"/>
      <c r="K156" s="100">
        <v>1</v>
      </c>
      <c r="L156" s="43"/>
      <c r="M156" s="82"/>
      <c r="N156" s="114"/>
      <c r="O156" s="82"/>
      <c r="P156" s="115"/>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row>
    <row r="157" spans="1:46" s="52" customFormat="1" ht="124.2" x14ac:dyDescent="0.3">
      <c r="A157" s="1">
        <v>6</v>
      </c>
      <c r="B157" s="2" t="s">
        <v>196</v>
      </c>
      <c r="C157" s="80" t="s">
        <v>187</v>
      </c>
      <c r="D157" s="95" t="s">
        <v>29</v>
      </c>
      <c r="E157" s="94">
        <f t="shared" si="14"/>
        <v>3</v>
      </c>
      <c r="F157" s="93">
        <v>350</v>
      </c>
      <c r="G157" s="93">
        <f t="shared" si="13"/>
        <v>1050</v>
      </c>
      <c r="H157" s="81"/>
      <c r="I157" s="40"/>
      <c r="J157" s="41"/>
      <c r="K157" s="100">
        <v>3</v>
      </c>
      <c r="L157" s="43"/>
      <c r="M157" s="82"/>
      <c r="N157" s="114"/>
      <c r="O157" s="82"/>
      <c r="P157" s="115"/>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row>
    <row r="158" spans="1:46" s="52" customFormat="1" ht="110.4" x14ac:dyDescent="0.3">
      <c r="A158" s="1">
        <v>6</v>
      </c>
      <c r="B158" s="2" t="s">
        <v>194</v>
      </c>
      <c r="C158" s="80" t="s">
        <v>185</v>
      </c>
      <c r="D158" s="95" t="s">
        <v>29</v>
      </c>
      <c r="E158" s="94">
        <f t="shared" si="14"/>
        <v>2</v>
      </c>
      <c r="F158" s="93">
        <v>350</v>
      </c>
      <c r="G158" s="93">
        <f t="shared" si="13"/>
        <v>700</v>
      </c>
      <c r="H158" s="81"/>
      <c r="I158" s="40"/>
      <c r="J158" s="41"/>
      <c r="K158" s="100">
        <v>2</v>
      </c>
      <c r="L158" s="43"/>
      <c r="M158" s="82"/>
      <c r="N158" s="114"/>
      <c r="O158" s="82"/>
      <c r="P158" s="115"/>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row>
    <row r="159" spans="1:46" s="52" customFormat="1" ht="110.4" x14ac:dyDescent="0.3">
      <c r="A159" s="1">
        <v>6</v>
      </c>
      <c r="B159" s="2" t="s">
        <v>192</v>
      </c>
      <c r="C159" s="80" t="s">
        <v>183</v>
      </c>
      <c r="D159" s="95" t="s">
        <v>29</v>
      </c>
      <c r="E159" s="94">
        <f t="shared" si="14"/>
        <v>1</v>
      </c>
      <c r="F159" s="93">
        <v>350</v>
      </c>
      <c r="G159" s="93">
        <f t="shared" si="13"/>
        <v>350</v>
      </c>
      <c r="H159" s="81"/>
      <c r="I159" s="40"/>
      <c r="J159" s="41"/>
      <c r="K159" s="100">
        <v>1</v>
      </c>
      <c r="L159" s="43"/>
      <c r="M159" s="82"/>
      <c r="N159" s="114"/>
      <c r="O159" s="82"/>
      <c r="P159" s="115"/>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row>
    <row r="160" spans="1:46" s="52" customFormat="1" ht="96.6" x14ac:dyDescent="0.3">
      <c r="A160" s="1">
        <v>6</v>
      </c>
      <c r="B160" s="2" t="s">
        <v>190</v>
      </c>
      <c r="C160" s="80" t="s">
        <v>181</v>
      </c>
      <c r="D160" s="95" t="s">
        <v>29</v>
      </c>
      <c r="E160" s="94">
        <f t="shared" si="14"/>
        <v>1</v>
      </c>
      <c r="F160" s="93">
        <v>120</v>
      </c>
      <c r="G160" s="93">
        <f t="shared" si="13"/>
        <v>120</v>
      </c>
      <c r="H160" s="81"/>
      <c r="I160" s="40"/>
      <c r="J160" s="41"/>
      <c r="K160" s="100">
        <v>1</v>
      </c>
      <c r="L160" s="43"/>
      <c r="M160" s="82"/>
      <c r="N160" s="114"/>
      <c r="O160" s="82"/>
      <c r="P160" s="115"/>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row>
    <row r="161" spans="1:46" s="52" customFormat="1" ht="126" customHeight="1" x14ac:dyDescent="0.3">
      <c r="A161" s="1">
        <v>6</v>
      </c>
      <c r="B161" s="2" t="s">
        <v>188</v>
      </c>
      <c r="C161" s="80" t="s">
        <v>179</v>
      </c>
      <c r="D161" s="95" t="s">
        <v>29</v>
      </c>
      <c r="E161" s="94">
        <f t="shared" si="14"/>
        <v>8</v>
      </c>
      <c r="F161" s="93">
        <v>400</v>
      </c>
      <c r="G161" s="93">
        <f t="shared" si="13"/>
        <v>3200</v>
      </c>
      <c r="H161" s="81"/>
      <c r="I161" s="40"/>
      <c r="J161" s="41"/>
      <c r="K161" s="100">
        <v>8</v>
      </c>
      <c r="L161" s="43"/>
      <c r="M161" s="82"/>
      <c r="N161" s="114"/>
      <c r="O161" s="82"/>
      <c r="P161" s="115"/>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row>
    <row r="162" spans="1:46" s="52" customFormat="1" ht="225" customHeight="1" x14ac:dyDescent="0.3">
      <c r="A162" s="306">
        <v>6</v>
      </c>
      <c r="B162" s="306" t="s">
        <v>186</v>
      </c>
      <c r="C162" s="101" t="s">
        <v>177</v>
      </c>
      <c r="D162" s="307" t="s">
        <v>10</v>
      </c>
      <c r="E162" s="308">
        <f>SUM(H162:N162)</f>
        <v>1</v>
      </c>
      <c r="F162" s="309">
        <v>36000</v>
      </c>
      <c r="G162" s="309">
        <f t="shared" si="13"/>
        <v>36000</v>
      </c>
      <c r="H162" s="81"/>
      <c r="I162" s="40"/>
      <c r="J162" s="41"/>
      <c r="K162" s="103">
        <v>1</v>
      </c>
      <c r="L162" s="43"/>
      <c r="M162" s="82"/>
      <c r="N162" s="114"/>
      <c r="O162" s="82"/>
      <c r="P162" s="115"/>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row>
    <row r="163" spans="1:46" s="52" customFormat="1" ht="232.5" customHeight="1" x14ac:dyDescent="0.3">
      <c r="A163" s="306"/>
      <c r="B163" s="306"/>
      <c r="C163" s="102" t="s">
        <v>176</v>
      </c>
      <c r="D163" s="307"/>
      <c r="E163" s="308"/>
      <c r="F163" s="309"/>
      <c r="G163" s="309"/>
      <c r="H163" s="81"/>
      <c r="I163" s="40"/>
      <c r="J163" s="41"/>
      <c r="K163" s="103"/>
      <c r="L163" s="43"/>
      <c r="M163" s="82"/>
      <c r="N163" s="114"/>
      <c r="O163" s="82"/>
      <c r="P163" s="115"/>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row>
    <row r="164" spans="1:46" s="52" customFormat="1" ht="96.6" x14ac:dyDescent="0.3">
      <c r="A164" s="1">
        <v>6</v>
      </c>
      <c r="B164" s="2" t="s">
        <v>184</v>
      </c>
      <c r="C164" s="80" t="s">
        <v>174</v>
      </c>
      <c r="D164" s="95" t="s">
        <v>10</v>
      </c>
      <c r="E164" s="94">
        <f>SUM(H164:N164)</f>
        <v>1</v>
      </c>
      <c r="F164" s="93">
        <v>2100</v>
      </c>
      <c r="G164" s="93">
        <f t="shared" ref="G164:G173" si="15">E164*F164</f>
        <v>2100</v>
      </c>
      <c r="H164" s="81"/>
      <c r="I164" s="40"/>
      <c r="J164" s="41"/>
      <c r="K164" s="100">
        <v>1</v>
      </c>
      <c r="L164" s="43"/>
      <c r="M164" s="82"/>
      <c r="N164" s="114"/>
      <c r="O164" s="82"/>
      <c r="P164" s="115"/>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row>
    <row r="165" spans="1:46" s="52" customFormat="1" ht="124.2" x14ac:dyDescent="0.3">
      <c r="A165" s="1">
        <v>6</v>
      </c>
      <c r="B165" s="2" t="s">
        <v>182</v>
      </c>
      <c r="C165" s="80" t="s">
        <v>172</v>
      </c>
      <c r="D165" s="95" t="s">
        <v>29</v>
      </c>
      <c r="E165" s="94">
        <f t="shared" ref="E165:E172" si="16">SUM(H165:N165)</f>
        <v>16</v>
      </c>
      <c r="F165" s="93">
        <v>80</v>
      </c>
      <c r="G165" s="93">
        <f t="shared" si="15"/>
        <v>1280</v>
      </c>
      <c r="H165" s="81"/>
      <c r="I165" s="40"/>
      <c r="J165" s="41"/>
      <c r="K165" s="100">
        <v>16</v>
      </c>
      <c r="L165" s="43"/>
      <c r="M165" s="82"/>
      <c r="N165" s="114"/>
      <c r="O165" s="82"/>
      <c r="P165" s="115"/>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row>
    <row r="166" spans="1:46" s="52" customFormat="1" ht="124.2" x14ac:dyDescent="0.3">
      <c r="A166" s="1">
        <v>6</v>
      </c>
      <c r="B166" s="2" t="s">
        <v>180</v>
      </c>
      <c r="C166" s="80" t="s">
        <v>170</v>
      </c>
      <c r="D166" s="95" t="s">
        <v>29</v>
      </c>
      <c r="E166" s="94">
        <f t="shared" si="16"/>
        <v>8</v>
      </c>
      <c r="F166" s="93">
        <v>90</v>
      </c>
      <c r="G166" s="93">
        <f t="shared" si="15"/>
        <v>720</v>
      </c>
      <c r="H166" s="81"/>
      <c r="I166" s="40"/>
      <c r="J166" s="41"/>
      <c r="K166" s="100">
        <v>8</v>
      </c>
      <c r="L166" s="43"/>
      <c r="M166" s="82"/>
      <c r="N166" s="114"/>
      <c r="O166" s="82"/>
      <c r="P166" s="115"/>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row>
    <row r="167" spans="1:46" s="52" customFormat="1" ht="96.6" x14ac:dyDescent="0.3">
      <c r="A167" s="1">
        <v>6</v>
      </c>
      <c r="B167" s="2" t="s">
        <v>178</v>
      </c>
      <c r="C167" s="80" t="s">
        <v>168</v>
      </c>
      <c r="D167" s="95" t="s">
        <v>29</v>
      </c>
      <c r="E167" s="94">
        <f t="shared" si="16"/>
        <v>7</v>
      </c>
      <c r="F167" s="93">
        <v>80</v>
      </c>
      <c r="G167" s="93">
        <f t="shared" si="15"/>
        <v>560</v>
      </c>
      <c r="H167" s="81"/>
      <c r="I167" s="40"/>
      <c r="J167" s="41"/>
      <c r="K167" s="100">
        <v>7</v>
      </c>
      <c r="L167" s="43"/>
      <c r="M167" s="82"/>
      <c r="N167" s="114"/>
      <c r="O167" s="82"/>
      <c r="P167" s="115"/>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row>
    <row r="168" spans="1:46" s="52" customFormat="1" ht="124.2" x14ac:dyDescent="0.3">
      <c r="A168" s="1">
        <v>6</v>
      </c>
      <c r="B168" s="2" t="s">
        <v>175</v>
      </c>
      <c r="C168" s="80" t="s">
        <v>166</v>
      </c>
      <c r="D168" s="95" t="s">
        <v>29</v>
      </c>
      <c r="E168" s="94">
        <f t="shared" si="16"/>
        <v>16</v>
      </c>
      <c r="F168" s="93">
        <v>350</v>
      </c>
      <c r="G168" s="93">
        <f t="shared" si="15"/>
        <v>5600</v>
      </c>
      <c r="H168" s="81"/>
      <c r="I168" s="40"/>
      <c r="J168" s="41"/>
      <c r="K168" s="100">
        <v>16</v>
      </c>
      <c r="L168" s="43"/>
      <c r="M168" s="82"/>
      <c r="N168" s="114"/>
      <c r="O168" s="82"/>
      <c r="P168" s="115"/>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row>
    <row r="169" spans="1:46" s="52" customFormat="1" ht="110.4" x14ac:dyDescent="0.3">
      <c r="A169" s="1">
        <v>6</v>
      </c>
      <c r="B169" s="2" t="s">
        <v>173</v>
      </c>
      <c r="C169" s="80" t="s">
        <v>164</v>
      </c>
      <c r="D169" s="95" t="s">
        <v>29</v>
      </c>
      <c r="E169" s="94">
        <f t="shared" si="16"/>
        <v>8</v>
      </c>
      <c r="F169" s="93">
        <v>350</v>
      </c>
      <c r="G169" s="93">
        <f t="shared" si="15"/>
        <v>2800</v>
      </c>
      <c r="H169" s="81"/>
      <c r="I169" s="40"/>
      <c r="J169" s="41"/>
      <c r="K169" s="100">
        <v>8</v>
      </c>
      <c r="L169" s="43"/>
      <c r="M169" s="82"/>
      <c r="N169" s="114"/>
      <c r="O169" s="82"/>
      <c r="P169" s="115"/>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row>
    <row r="170" spans="1:46" s="52" customFormat="1" ht="96.6" x14ac:dyDescent="0.3">
      <c r="A170" s="1">
        <v>6</v>
      </c>
      <c r="B170" s="2" t="s">
        <v>171</v>
      </c>
      <c r="C170" s="80" t="s">
        <v>162</v>
      </c>
      <c r="D170" s="95" t="s">
        <v>29</v>
      </c>
      <c r="E170" s="94">
        <f t="shared" si="16"/>
        <v>1</v>
      </c>
      <c r="F170" s="93">
        <v>120</v>
      </c>
      <c r="G170" s="93">
        <f t="shared" si="15"/>
        <v>120</v>
      </c>
      <c r="H170" s="81"/>
      <c r="I170" s="40"/>
      <c r="J170" s="41"/>
      <c r="K170" s="100">
        <v>1</v>
      </c>
      <c r="L170" s="43"/>
      <c r="M170" s="82"/>
      <c r="N170" s="114"/>
      <c r="O170" s="82"/>
      <c r="P170" s="115"/>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row>
    <row r="171" spans="1:46" s="52" customFormat="1" ht="110.4" x14ac:dyDescent="0.3">
      <c r="A171" s="1">
        <v>6</v>
      </c>
      <c r="B171" s="2" t="s">
        <v>169</v>
      </c>
      <c r="C171" s="80" t="s">
        <v>160</v>
      </c>
      <c r="D171" s="95" t="s">
        <v>29</v>
      </c>
      <c r="E171" s="94">
        <f t="shared" si="16"/>
        <v>7</v>
      </c>
      <c r="F171" s="93">
        <v>120</v>
      </c>
      <c r="G171" s="93">
        <f t="shared" si="15"/>
        <v>840</v>
      </c>
      <c r="H171" s="81"/>
      <c r="I171" s="40"/>
      <c r="J171" s="41"/>
      <c r="K171" s="100">
        <v>7</v>
      </c>
      <c r="L171" s="43"/>
      <c r="M171" s="82"/>
      <c r="N171" s="114"/>
      <c r="O171" s="82"/>
      <c r="P171" s="115"/>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row>
    <row r="172" spans="1:46" s="52" customFormat="1" ht="307.5" customHeight="1" x14ac:dyDescent="0.3">
      <c r="A172" s="1">
        <v>6</v>
      </c>
      <c r="B172" s="2" t="s">
        <v>167</v>
      </c>
      <c r="C172" s="80" t="s">
        <v>158</v>
      </c>
      <c r="D172" s="95" t="s">
        <v>10</v>
      </c>
      <c r="E172" s="94">
        <f t="shared" si="16"/>
        <v>1</v>
      </c>
      <c r="F172" s="93">
        <v>8000</v>
      </c>
      <c r="G172" s="93">
        <f t="shared" si="15"/>
        <v>8000</v>
      </c>
      <c r="H172" s="81"/>
      <c r="I172" s="40"/>
      <c r="J172" s="41"/>
      <c r="K172" s="100">
        <v>1</v>
      </c>
      <c r="L172" s="43"/>
      <c r="M172" s="82"/>
      <c r="N172" s="114"/>
      <c r="O172" s="82"/>
      <c r="P172" s="115"/>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row>
    <row r="173" spans="1:46" s="52" customFormat="1" ht="276" customHeight="1" x14ac:dyDescent="0.3">
      <c r="A173" s="312">
        <v>6</v>
      </c>
      <c r="B173" s="312" t="s">
        <v>165</v>
      </c>
      <c r="C173" s="80" t="s">
        <v>259</v>
      </c>
      <c r="D173" s="314" t="s">
        <v>29</v>
      </c>
      <c r="E173" s="316">
        <f>SUM(H173:N173)</f>
        <v>1</v>
      </c>
      <c r="F173" s="310">
        <v>6500</v>
      </c>
      <c r="G173" s="310">
        <f t="shared" si="15"/>
        <v>6500</v>
      </c>
      <c r="H173" s="81"/>
      <c r="I173" s="40"/>
      <c r="J173" s="41"/>
      <c r="K173" s="65"/>
      <c r="L173" s="43"/>
      <c r="M173" s="82"/>
      <c r="N173" s="114">
        <v>1</v>
      </c>
      <c r="O173" s="82"/>
      <c r="P173" s="115"/>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row>
    <row r="174" spans="1:46" s="52" customFormat="1" ht="398.25" customHeight="1" x14ac:dyDescent="0.3">
      <c r="A174" s="313"/>
      <c r="B174" s="313"/>
      <c r="C174" s="7" t="s">
        <v>258</v>
      </c>
      <c r="D174" s="315"/>
      <c r="E174" s="317"/>
      <c r="F174" s="311"/>
      <c r="G174" s="311"/>
      <c r="H174" s="81"/>
      <c r="I174" s="40"/>
      <c r="J174" s="41"/>
      <c r="K174" s="65"/>
      <c r="L174" s="43"/>
      <c r="M174" s="82"/>
      <c r="N174" s="114"/>
      <c r="O174" s="82"/>
      <c r="P174" s="115"/>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row>
    <row r="175" spans="1:46" s="52" customFormat="1" ht="96.6" x14ac:dyDescent="0.3">
      <c r="A175" s="1">
        <v>6</v>
      </c>
      <c r="B175" s="2" t="s">
        <v>163</v>
      </c>
      <c r="C175" s="80" t="s">
        <v>224</v>
      </c>
      <c r="D175" s="95" t="s">
        <v>29</v>
      </c>
      <c r="E175" s="94">
        <f>SUM(H175:N175)</f>
        <v>2</v>
      </c>
      <c r="F175" s="93">
        <v>315</v>
      </c>
      <c r="G175" s="93">
        <f t="shared" ref="G175:G177" si="17">E175*F175</f>
        <v>630</v>
      </c>
      <c r="H175" s="81"/>
      <c r="I175" s="40"/>
      <c r="J175" s="41"/>
      <c r="K175" s="65"/>
      <c r="L175" s="43"/>
      <c r="M175" s="82"/>
      <c r="N175" s="114">
        <v>2</v>
      </c>
      <c r="O175" s="82"/>
      <c r="P175" s="115"/>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row>
    <row r="176" spans="1:46" s="52" customFormat="1" ht="252" customHeight="1" x14ac:dyDescent="0.3">
      <c r="A176" s="1">
        <v>6</v>
      </c>
      <c r="B176" s="2" t="s">
        <v>161</v>
      </c>
      <c r="C176" s="80" t="s">
        <v>225</v>
      </c>
      <c r="D176" s="95" t="s">
        <v>29</v>
      </c>
      <c r="E176" s="94">
        <f>SUM(H176:N176)</f>
        <v>1</v>
      </c>
      <c r="F176" s="93">
        <v>1500</v>
      </c>
      <c r="G176" s="93">
        <f t="shared" si="17"/>
        <v>1500</v>
      </c>
      <c r="H176" s="81"/>
      <c r="I176" s="40"/>
      <c r="J176" s="41"/>
      <c r="K176" s="65"/>
      <c r="L176" s="43"/>
      <c r="M176" s="82"/>
      <c r="N176" s="114">
        <v>1</v>
      </c>
      <c r="O176" s="82"/>
      <c r="P176" s="115"/>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row>
    <row r="177" spans="1:46" s="52" customFormat="1" ht="247.5" customHeight="1" x14ac:dyDescent="0.3">
      <c r="A177" s="312">
        <v>6</v>
      </c>
      <c r="B177" s="312" t="s">
        <v>159</v>
      </c>
      <c r="C177" s="80" t="s">
        <v>226</v>
      </c>
      <c r="D177" s="314" t="s">
        <v>29</v>
      </c>
      <c r="E177" s="316">
        <f>SUM(H177:N177)</f>
        <v>64</v>
      </c>
      <c r="F177" s="310">
        <v>300</v>
      </c>
      <c r="G177" s="310">
        <f t="shared" si="17"/>
        <v>19200</v>
      </c>
      <c r="H177" s="81"/>
      <c r="I177" s="40"/>
      <c r="J177" s="41"/>
      <c r="K177" s="65"/>
      <c r="L177" s="43"/>
      <c r="M177" s="82"/>
      <c r="N177" s="114">
        <v>64</v>
      </c>
      <c r="O177" s="82"/>
      <c r="P177" s="115"/>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row>
    <row r="178" spans="1:46" s="52" customFormat="1" ht="336.75" customHeight="1" x14ac:dyDescent="0.3">
      <c r="A178" s="313"/>
      <c r="B178" s="313"/>
      <c r="C178" s="7" t="s">
        <v>227</v>
      </c>
      <c r="D178" s="315"/>
      <c r="E178" s="317"/>
      <c r="F178" s="311"/>
      <c r="G178" s="311"/>
      <c r="H178" s="81"/>
      <c r="I178" s="40"/>
      <c r="J178" s="41"/>
      <c r="K178" s="65"/>
      <c r="L178" s="43"/>
      <c r="M178" s="82"/>
      <c r="N178" s="114"/>
      <c r="O178" s="82"/>
      <c r="P178" s="115"/>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row>
    <row r="179" spans="1:46" s="52" customFormat="1" ht="124.2" x14ac:dyDescent="0.3">
      <c r="A179" s="1">
        <v>6</v>
      </c>
      <c r="B179" s="2" t="s">
        <v>222</v>
      </c>
      <c r="C179" s="80" t="s">
        <v>228</v>
      </c>
      <c r="D179" s="95" t="s">
        <v>29</v>
      </c>
      <c r="E179" s="94">
        <f>SUM(H179:N179)</f>
        <v>7</v>
      </c>
      <c r="F179" s="93">
        <v>69</v>
      </c>
      <c r="G179" s="93">
        <f t="shared" ref="G179:G180" si="18">E179*F179</f>
        <v>483</v>
      </c>
      <c r="H179" s="81"/>
      <c r="I179" s="40"/>
      <c r="J179" s="41"/>
      <c r="K179" s="65"/>
      <c r="L179" s="43"/>
      <c r="M179" s="82"/>
      <c r="N179" s="114">
        <v>7</v>
      </c>
      <c r="O179" s="82"/>
      <c r="P179" s="115"/>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row>
    <row r="180" spans="1:46" s="52" customFormat="1" ht="237.75" customHeight="1" x14ac:dyDescent="0.3">
      <c r="A180" s="312">
        <v>6</v>
      </c>
      <c r="B180" s="312" t="s">
        <v>223</v>
      </c>
      <c r="C180" s="80" t="s">
        <v>260</v>
      </c>
      <c r="D180" s="314" t="s">
        <v>29</v>
      </c>
      <c r="E180" s="316">
        <f>SUM(H180:N180)</f>
        <v>9</v>
      </c>
      <c r="F180" s="310">
        <v>330</v>
      </c>
      <c r="G180" s="310">
        <f t="shared" si="18"/>
        <v>2970</v>
      </c>
      <c r="H180" s="81"/>
      <c r="I180" s="40"/>
      <c r="J180" s="41"/>
      <c r="K180" s="65"/>
      <c r="L180" s="43"/>
      <c r="M180" s="82"/>
      <c r="N180" s="114">
        <v>9</v>
      </c>
      <c r="O180" s="82"/>
      <c r="P180" s="115"/>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row>
    <row r="181" spans="1:46" s="52" customFormat="1" ht="207" customHeight="1" x14ac:dyDescent="0.3">
      <c r="A181" s="313"/>
      <c r="B181" s="313"/>
      <c r="C181" s="7" t="s">
        <v>229</v>
      </c>
      <c r="D181" s="315"/>
      <c r="E181" s="317"/>
      <c r="F181" s="311"/>
      <c r="G181" s="311"/>
      <c r="H181" s="81"/>
      <c r="I181" s="40"/>
      <c r="J181" s="41"/>
      <c r="K181" s="65"/>
      <c r="L181" s="43"/>
      <c r="M181" s="82"/>
      <c r="N181" s="114"/>
      <c r="O181" s="82"/>
      <c r="P181" s="115"/>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row>
    <row r="182" spans="1:46" s="52" customFormat="1" ht="193.2" x14ac:dyDescent="0.3">
      <c r="A182" s="1">
        <v>6</v>
      </c>
      <c r="B182" s="2" t="s">
        <v>253</v>
      </c>
      <c r="C182" s="80" t="s">
        <v>230</v>
      </c>
      <c r="D182" s="95" t="s">
        <v>29</v>
      </c>
      <c r="E182" s="94">
        <f>SUM(H182:N182)</f>
        <v>73</v>
      </c>
      <c r="F182" s="93">
        <f>26+75</f>
        <v>101</v>
      </c>
      <c r="G182" s="93">
        <f t="shared" ref="G182:G205" si="19">E182*F182</f>
        <v>7373</v>
      </c>
      <c r="H182" s="81"/>
      <c r="I182" s="40"/>
      <c r="J182" s="41"/>
      <c r="K182" s="65"/>
      <c r="L182" s="43"/>
      <c r="M182" s="82"/>
      <c r="N182" s="114">
        <v>73</v>
      </c>
      <c r="O182" s="82"/>
      <c r="P182" s="115"/>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row>
    <row r="183" spans="1:46" s="52" customFormat="1" ht="138" x14ac:dyDescent="0.3">
      <c r="A183" s="1">
        <v>6</v>
      </c>
      <c r="B183" s="2" t="s">
        <v>254</v>
      </c>
      <c r="C183" s="80" t="s">
        <v>231</v>
      </c>
      <c r="D183" s="95" t="s">
        <v>29</v>
      </c>
      <c r="E183" s="94">
        <f>SUM(H183:N183)</f>
        <v>73</v>
      </c>
      <c r="F183" s="93">
        <f>30+15</f>
        <v>45</v>
      </c>
      <c r="G183" s="93">
        <f t="shared" si="19"/>
        <v>3285</v>
      </c>
      <c r="H183" s="81"/>
      <c r="I183" s="40"/>
      <c r="J183" s="41"/>
      <c r="K183" s="65"/>
      <c r="L183" s="43"/>
      <c r="M183" s="82"/>
      <c r="N183" s="114">
        <v>73</v>
      </c>
      <c r="O183" s="82"/>
      <c r="P183" s="115"/>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row>
    <row r="184" spans="1:46" s="52" customFormat="1" ht="275.25" customHeight="1" x14ac:dyDescent="0.3">
      <c r="A184" s="1">
        <v>6</v>
      </c>
      <c r="B184" s="2" t="s">
        <v>255</v>
      </c>
      <c r="C184" s="80" t="s">
        <v>232</v>
      </c>
      <c r="D184" s="95" t="s">
        <v>29</v>
      </c>
      <c r="E184" s="94">
        <f t="shared" ref="E184:E219" si="20">SUM(H184:N184)</f>
        <v>3</v>
      </c>
      <c r="F184" s="93">
        <f>650+75</f>
        <v>725</v>
      </c>
      <c r="G184" s="93">
        <f t="shared" si="19"/>
        <v>2175</v>
      </c>
      <c r="H184" s="81"/>
      <c r="I184" s="40"/>
      <c r="J184" s="41"/>
      <c r="K184" s="65"/>
      <c r="L184" s="43"/>
      <c r="M184" s="82"/>
      <c r="N184" s="114">
        <v>3</v>
      </c>
      <c r="O184" s="82"/>
      <c r="P184" s="115"/>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row>
    <row r="185" spans="1:46" s="52" customFormat="1" ht="248.4" x14ac:dyDescent="0.3">
      <c r="A185" s="1">
        <v>6</v>
      </c>
      <c r="B185" s="2" t="s">
        <v>269</v>
      </c>
      <c r="C185" s="80" t="s">
        <v>233</v>
      </c>
      <c r="D185" s="95" t="s">
        <v>29</v>
      </c>
      <c r="E185" s="94">
        <f t="shared" si="20"/>
        <v>22</v>
      </c>
      <c r="F185" s="93">
        <f>400+75</f>
        <v>475</v>
      </c>
      <c r="G185" s="93">
        <f t="shared" si="19"/>
        <v>10450</v>
      </c>
      <c r="H185" s="81"/>
      <c r="I185" s="40"/>
      <c r="J185" s="41"/>
      <c r="K185" s="65"/>
      <c r="L185" s="43"/>
      <c r="M185" s="82"/>
      <c r="N185" s="114">
        <v>22</v>
      </c>
      <c r="O185" s="82"/>
      <c r="P185" s="115"/>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row>
    <row r="186" spans="1:46" s="52" customFormat="1" ht="148.5" customHeight="1" x14ac:dyDescent="0.3">
      <c r="A186" s="1">
        <v>6</v>
      </c>
      <c r="B186" s="2" t="s">
        <v>256</v>
      </c>
      <c r="C186" s="80" t="s">
        <v>234</v>
      </c>
      <c r="D186" s="95" t="s">
        <v>29</v>
      </c>
      <c r="E186" s="94">
        <f t="shared" si="20"/>
        <v>2</v>
      </c>
      <c r="F186" s="93">
        <v>1399</v>
      </c>
      <c r="G186" s="93">
        <f t="shared" si="19"/>
        <v>2798</v>
      </c>
      <c r="H186" s="81"/>
      <c r="I186" s="40"/>
      <c r="J186" s="41"/>
      <c r="K186" s="65"/>
      <c r="L186" s="43"/>
      <c r="M186" s="82"/>
      <c r="N186" s="114">
        <v>2</v>
      </c>
      <c r="O186" s="82"/>
      <c r="P186" s="115"/>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row>
    <row r="187" spans="1:46" s="52" customFormat="1" ht="126.75" customHeight="1" x14ac:dyDescent="0.3">
      <c r="A187" s="1">
        <v>6</v>
      </c>
      <c r="B187" s="2" t="s">
        <v>257</v>
      </c>
      <c r="C187" s="80" t="s">
        <v>235</v>
      </c>
      <c r="D187" s="95" t="s">
        <v>29</v>
      </c>
      <c r="E187" s="94">
        <f t="shared" si="20"/>
        <v>5</v>
      </c>
      <c r="F187" s="93">
        <f>1273+230</f>
        <v>1503</v>
      </c>
      <c r="G187" s="93">
        <f t="shared" si="19"/>
        <v>7515</v>
      </c>
      <c r="H187" s="81"/>
      <c r="I187" s="40"/>
      <c r="J187" s="41"/>
      <c r="K187" s="65"/>
      <c r="L187" s="43"/>
      <c r="M187" s="82"/>
      <c r="N187" s="114">
        <v>5</v>
      </c>
      <c r="O187" s="82"/>
      <c r="P187" s="115"/>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row>
    <row r="188" spans="1:46" s="52" customFormat="1" ht="110.4" x14ac:dyDescent="0.3">
      <c r="A188" s="1">
        <v>6</v>
      </c>
      <c r="B188" s="2" t="s">
        <v>270</v>
      </c>
      <c r="C188" s="80" t="s">
        <v>236</v>
      </c>
      <c r="D188" s="95" t="s">
        <v>29</v>
      </c>
      <c r="E188" s="94">
        <f t="shared" si="20"/>
        <v>1</v>
      </c>
      <c r="F188" s="93">
        <v>144</v>
      </c>
      <c r="G188" s="93">
        <f t="shared" si="19"/>
        <v>144</v>
      </c>
      <c r="H188" s="81"/>
      <c r="I188" s="40"/>
      <c r="J188" s="41"/>
      <c r="K188" s="65"/>
      <c r="L188" s="43"/>
      <c r="M188" s="82"/>
      <c r="N188" s="114">
        <v>1</v>
      </c>
      <c r="O188" s="82"/>
      <c r="P188" s="115"/>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row>
    <row r="189" spans="1:46" s="52" customFormat="1" ht="223.5" customHeight="1" x14ac:dyDescent="0.3">
      <c r="A189" s="1">
        <v>6</v>
      </c>
      <c r="B189" s="2" t="s">
        <v>271</v>
      </c>
      <c r="C189" s="80" t="s">
        <v>237</v>
      </c>
      <c r="D189" s="95" t="s">
        <v>29</v>
      </c>
      <c r="E189" s="94">
        <f t="shared" si="20"/>
        <v>1</v>
      </c>
      <c r="F189" s="93">
        <f>6500+950</f>
        <v>7450</v>
      </c>
      <c r="G189" s="93">
        <f t="shared" si="19"/>
        <v>7450</v>
      </c>
      <c r="H189" s="81"/>
      <c r="I189" s="40"/>
      <c r="J189" s="41"/>
      <c r="K189" s="65"/>
      <c r="L189" s="43"/>
      <c r="M189" s="82"/>
      <c r="N189" s="114">
        <v>1</v>
      </c>
      <c r="O189" s="82"/>
      <c r="P189" s="115"/>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row>
    <row r="190" spans="1:46" s="52" customFormat="1" ht="82.8" x14ac:dyDescent="0.3">
      <c r="A190" s="1">
        <v>6</v>
      </c>
      <c r="B190" s="2" t="s">
        <v>272</v>
      </c>
      <c r="C190" s="80" t="s">
        <v>132</v>
      </c>
      <c r="D190" s="95" t="s">
        <v>10</v>
      </c>
      <c r="E190" s="94">
        <f t="shared" si="20"/>
        <v>1</v>
      </c>
      <c r="F190" s="93">
        <v>600</v>
      </c>
      <c r="G190" s="93">
        <f t="shared" si="19"/>
        <v>600</v>
      </c>
      <c r="H190" s="81"/>
      <c r="I190" s="40"/>
      <c r="J190" s="41"/>
      <c r="K190" s="65"/>
      <c r="L190" s="43"/>
      <c r="M190" s="82"/>
      <c r="N190" s="114">
        <v>1</v>
      </c>
      <c r="O190" s="82"/>
      <c r="P190" s="115"/>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row>
    <row r="191" spans="1:46" s="52" customFormat="1" ht="151.80000000000001" x14ac:dyDescent="0.3">
      <c r="A191" s="1">
        <v>6</v>
      </c>
      <c r="B191" s="2" t="s">
        <v>273</v>
      </c>
      <c r="C191" s="80" t="s">
        <v>238</v>
      </c>
      <c r="D191" s="95" t="s">
        <v>29</v>
      </c>
      <c r="E191" s="94">
        <f t="shared" si="20"/>
        <v>1</v>
      </c>
      <c r="F191" s="93">
        <v>850</v>
      </c>
      <c r="G191" s="93">
        <f t="shared" si="19"/>
        <v>850</v>
      </c>
      <c r="H191" s="81"/>
      <c r="I191" s="40"/>
      <c r="J191" s="41"/>
      <c r="K191" s="65"/>
      <c r="L191" s="43"/>
      <c r="M191" s="82"/>
      <c r="N191" s="114">
        <v>1</v>
      </c>
      <c r="O191" s="82"/>
      <c r="P191" s="115"/>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row>
    <row r="192" spans="1:46" s="52" customFormat="1" ht="96.6" x14ac:dyDescent="0.3">
      <c r="A192" s="1">
        <v>6</v>
      </c>
      <c r="B192" s="2" t="s">
        <v>274</v>
      </c>
      <c r="C192" s="80" t="s">
        <v>239</v>
      </c>
      <c r="D192" s="95" t="s">
        <v>29</v>
      </c>
      <c r="E192" s="94">
        <f t="shared" si="20"/>
        <v>73</v>
      </c>
      <c r="F192" s="93">
        <v>15</v>
      </c>
      <c r="G192" s="93">
        <f t="shared" si="19"/>
        <v>1095</v>
      </c>
      <c r="H192" s="81"/>
      <c r="I192" s="40"/>
      <c r="J192" s="41"/>
      <c r="K192" s="65"/>
      <c r="L192" s="43"/>
      <c r="M192" s="82"/>
      <c r="N192" s="114">
        <v>73</v>
      </c>
      <c r="O192" s="82"/>
      <c r="P192" s="115"/>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row>
    <row r="193" spans="1:46" s="52" customFormat="1" ht="116.25" customHeight="1" x14ac:dyDescent="0.3">
      <c r="A193" s="1">
        <v>6</v>
      </c>
      <c r="B193" s="2" t="s">
        <v>275</v>
      </c>
      <c r="C193" s="80" t="s">
        <v>240</v>
      </c>
      <c r="D193" s="95" t="s">
        <v>29</v>
      </c>
      <c r="E193" s="94">
        <f t="shared" si="20"/>
        <v>1</v>
      </c>
      <c r="F193" s="93">
        <v>300</v>
      </c>
      <c r="G193" s="93">
        <f t="shared" si="19"/>
        <v>300</v>
      </c>
      <c r="H193" s="81"/>
      <c r="I193" s="40"/>
      <c r="J193" s="41"/>
      <c r="K193" s="65"/>
      <c r="L193" s="43"/>
      <c r="M193" s="82"/>
      <c r="N193" s="114">
        <v>1</v>
      </c>
      <c r="O193" s="82"/>
      <c r="P193" s="115"/>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row>
    <row r="194" spans="1:46" s="52" customFormat="1" ht="96.6" x14ac:dyDescent="0.3">
      <c r="A194" s="1">
        <v>6</v>
      </c>
      <c r="B194" s="2" t="s">
        <v>276</v>
      </c>
      <c r="C194" s="80" t="s">
        <v>241</v>
      </c>
      <c r="D194" s="95" t="s">
        <v>29</v>
      </c>
      <c r="E194" s="94">
        <f t="shared" si="20"/>
        <v>99</v>
      </c>
      <c r="F194" s="93">
        <v>50</v>
      </c>
      <c r="G194" s="93">
        <f t="shared" si="19"/>
        <v>4950</v>
      </c>
      <c r="H194" s="81"/>
      <c r="I194" s="40"/>
      <c r="J194" s="41"/>
      <c r="K194" s="65"/>
      <c r="L194" s="43"/>
      <c r="M194" s="82"/>
      <c r="N194" s="114">
        <v>99</v>
      </c>
      <c r="O194" s="82"/>
      <c r="P194" s="115"/>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row>
    <row r="195" spans="1:46" s="52" customFormat="1" ht="96.6" x14ac:dyDescent="0.3">
      <c r="A195" s="1">
        <v>6</v>
      </c>
      <c r="B195" s="2" t="s">
        <v>277</v>
      </c>
      <c r="C195" s="80" t="s">
        <v>242</v>
      </c>
      <c r="D195" s="95" t="s">
        <v>29</v>
      </c>
      <c r="E195" s="94">
        <f t="shared" si="20"/>
        <v>99</v>
      </c>
      <c r="F195" s="93">
        <v>12</v>
      </c>
      <c r="G195" s="93">
        <f t="shared" si="19"/>
        <v>1188</v>
      </c>
      <c r="H195" s="81"/>
      <c r="I195" s="40"/>
      <c r="J195" s="41"/>
      <c r="K195" s="65"/>
      <c r="L195" s="43"/>
      <c r="M195" s="82"/>
      <c r="N195" s="114">
        <v>99</v>
      </c>
      <c r="O195" s="82"/>
      <c r="P195" s="115"/>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row>
    <row r="196" spans="1:46" s="52" customFormat="1" ht="111" customHeight="1" x14ac:dyDescent="0.3">
      <c r="A196" s="1">
        <v>6</v>
      </c>
      <c r="B196" s="2" t="s">
        <v>278</v>
      </c>
      <c r="C196" s="80" t="s">
        <v>243</v>
      </c>
      <c r="D196" s="95" t="s">
        <v>29</v>
      </c>
      <c r="E196" s="94">
        <f t="shared" si="20"/>
        <v>8</v>
      </c>
      <c r="F196" s="93">
        <v>500</v>
      </c>
      <c r="G196" s="93">
        <f t="shared" si="19"/>
        <v>4000</v>
      </c>
      <c r="H196" s="81"/>
      <c r="I196" s="40"/>
      <c r="J196" s="41"/>
      <c r="K196" s="65"/>
      <c r="L196" s="43"/>
      <c r="M196" s="82"/>
      <c r="N196" s="114">
        <v>8</v>
      </c>
      <c r="O196" s="82"/>
      <c r="P196" s="115"/>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row>
    <row r="197" spans="1:46" s="52" customFormat="1" ht="82.8" x14ac:dyDescent="0.3">
      <c r="A197" s="1">
        <v>6</v>
      </c>
      <c r="B197" s="2" t="s">
        <v>279</v>
      </c>
      <c r="C197" s="80" t="s">
        <v>244</v>
      </c>
      <c r="D197" s="95" t="s">
        <v>29</v>
      </c>
      <c r="E197" s="94">
        <f t="shared" si="20"/>
        <v>1</v>
      </c>
      <c r="F197" s="93">
        <v>5000</v>
      </c>
      <c r="G197" s="93">
        <f t="shared" si="19"/>
        <v>5000</v>
      </c>
      <c r="H197" s="81"/>
      <c r="I197" s="40"/>
      <c r="J197" s="41"/>
      <c r="K197" s="65"/>
      <c r="L197" s="43"/>
      <c r="M197" s="82"/>
      <c r="N197" s="114">
        <v>1</v>
      </c>
      <c r="O197" s="82"/>
      <c r="P197" s="115"/>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row>
    <row r="198" spans="1:46" s="52" customFormat="1" ht="110.4" x14ac:dyDescent="0.3">
      <c r="A198" s="1">
        <v>6</v>
      </c>
      <c r="B198" s="2" t="s">
        <v>280</v>
      </c>
      <c r="C198" s="80" t="s">
        <v>245</v>
      </c>
      <c r="D198" s="95" t="s">
        <v>29</v>
      </c>
      <c r="E198" s="94">
        <f t="shared" si="20"/>
        <v>99</v>
      </c>
      <c r="F198" s="93">
        <v>100</v>
      </c>
      <c r="G198" s="93">
        <f t="shared" si="19"/>
        <v>9900</v>
      </c>
      <c r="H198" s="81"/>
      <c r="I198" s="40"/>
      <c r="J198" s="41"/>
      <c r="K198" s="65"/>
      <c r="L198" s="43"/>
      <c r="M198" s="82"/>
      <c r="N198" s="114">
        <v>99</v>
      </c>
      <c r="O198" s="82"/>
      <c r="P198" s="115"/>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row>
    <row r="199" spans="1:46" s="52" customFormat="1" ht="124.2" x14ac:dyDescent="0.3">
      <c r="A199" s="1">
        <v>6</v>
      </c>
      <c r="B199" s="2" t="s">
        <v>281</v>
      </c>
      <c r="C199" s="80" t="s">
        <v>246</v>
      </c>
      <c r="D199" s="95" t="s">
        <v>10</v>
      </c>
      <c r="E199" s="94">
        <f t="shared" si="20"/>
        <v>1</v>
      </c>
      <c r="F199" s="93">
        <v>1800</v>
      </c>
      <c r="G199" s="93">
        <f t="shared" si="19"/>
        <v>1800</v>
      </c>
      <c r="H199" s="81"/>
      <c r="I199" s="40"/>
      <c r="J199" s="41"/>
      <c r="K199" s="65"/>
      <c r="L199" s="43"/>
      <c r="M199" s="82"/>
      <c r="N199" s="114">
        <v>1</v>
      </c>
      <c r="O199" s="82"/>
      <c r="P199" s="115"/>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row>
    <row r="200" spans="1:46" s="52" customFormat="1" ht="96.6" x14ac:dyDescent="0.3">
      <c r="A200" s="1">
        <v>6</v>
      </c>
      <c r="B200" s="2" t="s">
        <v>282</v>
      </c>
      <c r="C200" s="80" t="s">
        <v>247</v>
      </c>
      <c r="D200" s="95" t="s">
        <v>18</v>
      </c>
      <c r="E200" s="94">
        <f t="shared" si="20"/>
        <v>50</v>
      </c>
      <c r="F200" s="93">
        <v>28</v>
      </c>
      <c r="G200" s="93">
        <f t="shared" si="19"/>
        <v>1400</v>
      </c>
      <c r="H200" s="81"/>
      <c r="I200" s="40"/>
      <c r="J200" s="41"/>
      <c r="K200" s="65"/>
      <c r="L200" s="43"/>
      <c r="M200" s="82"/>
      <c r="N200" s="114">
        <v>50</v>
      </c>
      <c r="O200" s="82"/>
      <c r="P200" s="115"/>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row>
    <row r="201" spans="1:46" s="52" customFormat="1" ht="138" x14ac:dyDescent="0.3">
      <c r="A201" s="1">
        <v>6</v>
      </c>
      <c r="B201" s="2" t="s">
        <v>283</v>
      </c>
      <c r="C201" s="80" t="s">
        <v>248</v>
      </c>
      <c r="D201" s="95" t="s">
        <v>18</v>
      </c>
      <c r="E201" s="94">
        <f t="shared" si="20"/>
        <v>620</v>
      </c>
      <c r="F201" s="93">
        <f>4+5</f>
        <v>9</v>
      </c>
      <c r="G201" s="93">
        <f t="shared" si="19"/>
        <v>5580</v>
      </c>
      <c r="H201" s="81"/>
      <c r="I201" s="40"/>
      <c r="J201" s="41"/>
      <c r="K201" s="65"/>
      <c r="L201" s="43"/>
      <c r="M201" s="82"/>
      <c r="N201" s="114">
        <v>620</v>
      </c>
      <c r="O201" s="82"/>
      <c r="P201" s="115"/>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row>
    <row r="202" spans="1:46" s="52" customFormat="1" ht="82.8" x14ac:dyDescent="0.3">
      <c r="A202" s="1">
        <v>6</v>
      </c>
      <c r="B202" s="2" t="s">
        <v>284</v>
      </c>
      <c r="C202" s="80" t="s">
        <v>249</v>
      </c>
      <c r="D202" s="95" t="s">
        <v>18</v>
      </c>
      <c r="E202" s="94">
        <f t="shared" si="20"/>
        <v>558</v>
      </c>
      <c r="F202" s="93">
        <v>12</v>
      </c>
      <c r="G202" s="93">
        <f t="shared" si="19"/>
        <v>6696</v>
      </c>
      <c r="H202" s="81"/>
      <c r="I202" s="40"/>
      <c r="J202" s="41"/>
      <c r="K202" s="65"/>
      <c r="L202" s="43"/>
      <c r="M202" s="82"/>
      <c r="N202" s="114">
        <v>558</v>
      </c>
      <c r="O202" s="82"/>
      <c r="P202" s="115"/>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row>
    <row r="203" spans="1:46" s="52" customFormat="1" ht="138" x14ac:dyDescent="0.3">
      <c r="A203" s="1">
        <v>6</v>
      </c>
      <c r="B203" s="2" t="s">
        <v>285</v>
      </c>
      <c r="C203" s="80" t="s">
        <v>250</v>
      </c>
      <c r="D203" s="95" t="s">
        <v>18</v>
      </c>
      <c r="E203" s="94">
        <f t="shared" si="20"/>
        <v>334.8</v>
      </c>
      <c r="F203" s="93">
        <v>11</v>
      </c>
      <c r="G203" s="93">
        <f t="shared" si="19"/>
        <v>3682.8</v>
      </c>
      <c r="H203" s="81"/>
      <c r="I203" s="40"/>
      <c r="J203" s="41"/>
      <c r="K203" s="65"/>
      <c r="L203" s="43"/>
      <c r="M203" s="82"/>
      <c r="N203" s="114">
        <v>334.8</v>
      </c>
      <c r="O203" s="82"/>
      <c r="P203" s="115"/>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row>
    <row r="204" spans="1:46" s="52" customFormat="1" ht="82.8" x14ac:dyDescent="0.3">
      <c r="A204" s="1">
        <v>6</v>
      </c>
      <c r="B204" s="2" t="s">
        <v>286</v>
      </c>
      <c r="C204" s="80" t="s">
        <v>251</v>
      </c>
      <c r="D204" s="95" t="s">
        <v>29</v>
      </c>
      <c r="E204" s="94">
        <f t="shared" si="20"/>
        <v>54</v>
      </c>
      <c r="F204" s="93">
        <v>50</v>
      </c>
      <c r="G204" s="93">
        <f t="shared" si="19"/>
        <v>2700</v>
      </c>
      <c r="H204" s="81"/>
      <c r="I204" s="40"/>
      <c r="J204" s="41"/>
      <c r="K204" s="65"/>
      <c r="L204" s="43"/>
      <c r="M204" s="82"/>
      <c r="N204" s="114">
        <v>54</v>
      </c>
      <c r="O204" s="82"/>
      <c r="P204" s="115"/>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row>
    <row r="205" spans="1:46" s="52" customFormat="1" ht="110.4" x14ac:dyDescent="0.3">
      <c r="A205" s="1">
        <v>6</v>
      </c>
      <c r="B205" s="2" t="s">
        <v>287</v>
      </c>
      <c r="C205" s="80" t="s">
        <v>252</v>
      </c>
      <c r="D205" s="95" t="s">
        <v>29</v>
      </c>
      <c r="E205" s="94">
        <f t="shared" si="20"/>
        <v>1</v>
      </c>
      <c r="F205" s="93">
        <v>350</v>
      </c>
      <c r="G205" s="93">
        <f t="shared" si="19"/>
        <v>350</v>
      </c>
      <c r="H205" s="81"/>
      <c r="I205" s="40"/>
      <c r="J205" s="41"/>
      <c r="K205" s="65"/>
      <c r="L205" s="43"/>
      <c r="M205" s="82"/>
      <c r="N205" s="114">
        <v>1</v>
      </c>
      <c r="O205" s="82"/>
      <c r="P205" s="115"/>
      <c r="Q205" s="82"/>
      <c r="R205" s="82"/>
      <c r="S205" s="82"/>
      <c r="T205" s="82"/>
      <c r="U205" s="82"/>
      <c r="V205" s="116"/>
      <c r="W205" s="116"/>
      <c r="X205" s="116"/>
      <c r="Y205" s="116"/>
      <c r="Z205" s="116"/>
      <c r="AA205" s="116"/>
      <c r="AB205" s="116"/>
      <c r="AC205" s="116"/>
      <c r="AD205" s="116"/>
      <c r="AE205" s="82"/>
      <c r="AF205" s="82"/>
      <c r="AG205" s="82"/>
      <c r="AH205" s="82"/>
      <c r="AI205" s="82"/>
      <c r="AJ205" s="82"/>
      <c r="AK205" s="82"/>
      <c r="AL205" s="82"/>
      <c r="AM205" s="82"/>
      <c r="AN205" s="82"/>
      <c r="AO205" s="82"/>
      <c r="AP205" s="82"/>
      <c r="AQ205" s="82"/>
      <c r="AR205" s="82"/>
      <c r="AS205" s="82"/>
      <c r="AT205" s="82"/>
    </row>
    <row r="206" spans="1:46" s="109" customFormat="1" ht="82.8" x14ac:dyDescent="0.3">
      <c r="A206" s="1">
        <v>6</v>
      </c>
      <c r="B206" s="2" t="s">
        <v>288</v>
      </c>
      <c r="C206" s="45" t="s">
        <v>261</v>
      </c>
      <c r="D206" s="48" t="s">
        <v>29</v>
      </c>
      <c r="E206" s="94">
        <f t="shared" si="20"/>
        <v>52</v>
      </c>
      <c r="F206" s="50">
        <v>50</v>
      </c>
      <c r="G206" s="50">
        <f>E206*F206</f>
        <v>2600</v>
      </c>
      <c r="I206" s="110"/>
      <c r="J206" s="110"/>
      <c r="K206" s="65"/>
      <c r="L206" s="110"/>
      <c r="M206" s="117"/>
      <c r="N206" s="114">
        <v>52</v>
      </c>
      <c r="O206" s="117"/>
      <c r="P206" s="118"/>
      <c r="Q206" s="117"/>
      <c r="R206" s="117"/>
      <c r="S206" s="117"/>
      <c r="T206" s="117"/>
      <c r="U206" s="117"/>
      <c r="V206" s="117"/>
      <c r="W206" s="117"/>
      <c r="X206" s="117"/>
      <c r="Y206" s="117"/>
      <c r="Z206" s="117"/>
      <c r="AA206" s="117"/>
      <c r="AB206" s="117"/>
      <c r="AC206" s="117"/>
      <c r="AD206" s="117"/>
      <c r="AE206" s="117"/>
      <c r="AF206" s="117"/>
      <c r="AG206" s="117"/>
      <c r="AH206" s="117"/>
      <c r="AI206" s="117"/>
      <c r="AJ206" s="117"/>
      <c r="AK206" s="117"/>
      <c r="AL206" s="117"/>
      <c r="AM206" s="117"/>
      <c r="AN206" s="117"/>
      <c r="AO206" s="117"/>
      <c r="AP206" s="117"/>
      <c r="AQ206" s="117"/>
      <c r="AR206" s="117"/>
      <c r="AS206" s="117"/>
      <c r="AT206" s="117"/>
    </row>
    <row r="207" spans="1:46" s="109" customFormat="1" ht="124.2" x14ac:dyDescent="0.3">
      <c r="A207" s="1">
        <v>6</v>
      </c>
      <c r="B207" s="2" t="s">
        <v>289</v>
      </c>
      <c r="C207" s="45" t="s">
        <v>262</v>
      </c>
      <c r="D207" s="48" t="s">
        <v>29</v>
      </c>
      <c r="E207" s="94">
        <f t="shared" si="20"/>
        <v>52</v>
      </c>
      <c r="F207" s="50">
        <v>210</v>
      </c>
      <c r="G207" s="50">
        <f>E207*F207</f>
        <v>10920</v>
      </c>
      <c r="I207" s="110"/>
      <c r="J207" s="110"/>
      <c r="K207" s="65"/>
      <c r="L207" s="110"/>
      <c r="M207" s="117"/>
      <c r="N207" s="114">
        <v>52</v>
      </c>
      <c r="O207" s="117"/>
      <c r="P207" s="118"/>
      <c r="Q207" s="117"/>
      <c r="R207" s="117"/>
      <c r="S207" s="117"/>
      <c r="T207" s="117"/>
      <c r="U207" s="117"/>
      <c r="V207" s="117"/>
      <c r="W207" s="117"/>
      <c r="X207" s="117"/>
      <c r="Y207" s="117"/>
      <c r="Z207" s="117"/>
      <c r="AA207" s="117"/>
      <c r="AB207" s="117"/>
      <c r="AC207" s="117"/>
      <c r="AD207" s="117"/>
      <c r="AE207" s="117"/>
      <c r="AF207" s="117"/>
      <c r="AG207" s="117"/>
      <c r="AH207" s="117"/>
      <c r="AI207" s="117"/>
      <c r="AJ207" s="117"/>
      <c r="AK207" s="117"/>
      <c r="AL207" s="117"/>
      <c r="AM207" s="117"/>
      <c r="AN207" s="117"/>
      <c r="AO207" s="117"/>
      <c r="AP207" s="117"/>
      <c r="AQ207" s="117"/>
      <c r="AR207" s="117"/>
      <c r="AS207" s="117"/>
      <c r="AT207" s="117"/>
    </row>
    <row r="208" spans="1:46" s="109" customFormat="1" ht="124.2" x14ac:dyDescent="0.3">
      <c r="A208" s="1">
        <v>6</v>
      </c>
      <c r="B208" s="2" t="s">
        <v>290</v>
      </c>
      <c r="C208" s="45" t="s">
        <v>263</v>
      </c>
      <c r="D208" s="48" t="s">
        <v>29</v>
      </c>
      <c r="E208" s="94">
        <f t="shared" si="20"/>
        <v>4</v>
      </c>
      <c r="F208" s="50">
        <v>500</v>
      </c>
      <c r="G208" s="50">
        <f>E208*F208</f>
        <v>2000</v>
      </c>
      <c r="I208" s="110"/>
      <c r="J208" s="110"/>
      <c r="K208" s="65"/>
      <c r="L208" s="110"/>
      <c r="M208" s="117"/>
      <c r="N208" s="114">
        <v>4</v>
      </c>
      <c r="O208" s="117"/>
      <c r="P208" s="118"/>
      <c r="Q208" s="117"/>
      <c r="R208" s="117"/>
      <c r="S208" s="117"/>
      <c r="T208" s="117"/>
      <c r="U208" s="117"/>
      <c r="V208" s="117"/>
      <c r="W208" s="117"/>
      <c r="X208" s="117"/>
      <c r="Y208" s="117"/>
      <c r="Z208" s="117"/>
      <c r="AA208" s="117"/>
      <c r="AB208" s="117"/>
      <c r="AC208" s="117"/>
      <c r="AD208" s="117"/>
      <c r="AE208" s="117"/>
      <c r="AF208" s="117"/>
      <c r="AG208" s="117"/>
      <c r="AH208" s="117"/>
      <c r="AI208" s="117"/>
      <c r="AJ208" s="117"/>
      <c r="AK208" s="117"/>
      <c r="AL208" s="117"/>
      <c r="AM208" s="117"/>
      <c r="AN208" s="117"/>
      <c r="AO208" s="117"/>
      <c r="AP208" s="117"/>
      <c r="AQ208" s="117"/>
      <c r="AR208" s="117"/>
      <c r="AS208" s="117"/>
      <c r="AT208" s="117"/>
    </row>
    <row r="209" spans="1:46" s="109" customFormat="1" ht="222" x14ac:dyDescent="0.3">
      <c r="A209" s="1">
        <v>6</v>
      </c>
      <c r="B209" s="2" t="s">
        <v>291</v>
      </c>
      <c r="C209" s="45" t="s">
        <v>264</v>
      </c>
      <c r="D209" s="48" t="s">
        <v>10</v>
      </c>
      <c r="E209" s="94">
        <f t="shared" si="20"/>
        <v>1</v>
      </c>
      <c r="F209" s="50">
        <v>4500</v>
      </c>
      <c r="G209" s="50">
        <f>E209*F209</f>
        <v>4500</v>
      </c>
      <c r="I209" s="110"/>
      <c r="J209" s="110"/>
      <c r="K209" s="65"/>
      <c r="L209" s="110"/>
      <c r="M209" s="117"/>
      <c r="N209" s="114">
        <v>1</v>
      </c>
      <c r="O209" s="117"/>
      <c r="P209" s="118"/>
      <c r="Q209" s="117"/>
      <c r="R209" s="117"/>
      <c r="S209" s="117"/>
      <c r="T209" s="117"/>
      <c r="U209" s="117"/>
      <c r="V209" s="117"/>
      <c r="W209" s="117"/>
      <c r="X209" s="117"/>
      <c r="Y209" s="117"/>
      <c r="Z209" s="117"/>
      <c r="AA209" s="117"/>
      <c r="AB209" s="117"/>
      <c r="AC209" s="117"/>
      <c r="AD209" s="117"/>
      <c r="AE209" s="117"/>
      <c r="AF209" s="117"/>
      <c r="AG209" s="117"/>
      <c r="AH209" s="117"/>
      <c r="AI209" s="117"/>
      <c r="AJ209" s="117"/>
      <c r="AK209" s="117"/>
      <c r="AL209" s="117"/>
      <c r="AM209" s="117"/>
      <c r="AN209" s="117"/>
      <c r="AO209" s="117"/>
      <c r="AP209" s="117"/>
      <c r="AQ209" s="117"/>
      <c r="AR209" s="117"/>
      <c r="AS209" s="117"/>
      <c r="AT209" s="117"/>
    </row>
    <row r="210" spans="1:46" s="109" customFormat="1" ht="174" customHeight="1" x14ac:dyDescent="0.3">
      <c r="A210" s="1">
        <v>6</v>
      </c>
      <c r="B210" s="2" t="s">
        <v>292</v>
      </c>
      <c r="C210" s="45" t="s">
        <v>265</v>
      </c>
      <c r="D210" s="48" t="s">
        <v>10</v>
      </c>
      <c r="E210" s="94">
        <f t="shared" si="20"/>
        <v>1</v>
      </c>
      <c r="F210" s="50">
        <v>7000</v>
      </c>
      <c r="G210" s="50">
        <f>E210*F210</f>
        <v>7000</v>
      </c>
      <c r="I210" s="110"/>
      <c r="J210" s="110"/>
      <c r="K210" s="65"/>
      <c r="L210" s="110"/>
      <c r="M210" s="117"/>
      <c r="N210" s="114">
        <v>1</v>
      </c>
      <c r="O210" s="117"/>
      <c r="P210" s="118"/>
      <c r="Q210" s="117"/>
      <c r="R210" s="117"/>
      <c r="S210" s="117"/>
      <c r="T210" s="117"/>
      <c r="U210" s="117"/>
      <c r="V210" s="117"/>
      <c r="W210" s="117"/>
      <c r="X210" s="117"/>
      <c r="Y210" s="117"/>
      <c r="Z210" s="117"/>
      <c r="AA210" s="117"/>
      <c r="AB210" s="117"/>
      <c r="AC210" s="117"/>
      <c r="AD210" s="117"/>
      <c r="AE210" s="117"/>
      <c r="AF210" s="117"/>
      <c r="AG210" s="117"/>
      <c r="AH210" s="117"/>
      <c r="AI210" s="117"/>
      <c r="AJ210" s="117"/>
      <c r="AK210" s="117"/>
      <c r="AL210" s="117"/>
      <c r="AM210" s="117"/>
      <c r="AN210" s="117"/>
      <c r="AO210" s="117"/>
      <c r="AP210" s="117"/>
      <c r="AQ210" s="117"/>
      <c r="AR210" s="117"/>
      <c r="AS210" s="117"/>
      <c r="AT210" s="117"/>
    </row>
    <row r="211" spans="1:46" s="109" customFormat="1" ht="96.6" x14ac:dyDescent="0.3">
      <c r="A211" s="1">
        <v>6</v>
      </c>
      <c r="B211" s="2" t="s">
        <v>293</v>
      </c>
      <c r="C211" s="45" t="s">
        <v>266</v>
      </c>
      <c r="D211" s="48" t="s">
        <v>10</v>
      </c>
      <c r="E211" s="94">
        <f t="shared" si="20"/>
        <v>3</v>
      </c>
      <c r="F211" s="50">
        <v>500</v>
      </c>
      <c r="G211" s="50">
        <f t="shared" ref="G211:G219" si="21">E211*F211</f>
        <v>1500</v>
      </c>
      <c r="I211" s="110"/>
      <c r="J211" s="110"/>
      <c r="K211" s="65"/>
      <c r="L211" s="110"/>
      <c r="M211" s="117"/>
      <c r="N211" s="114">
        <v>3</v>
      </c>
      <c r="O211" s="117"/>
      <c r="P211" s="118"/>
      <c r="Q211" s="117"/>
      <c r="R211" s="117"/>
      <c r="S211" s="117"/>
      <c r="T211" s="117"/>
      <c r="U211" s="117"/>
      <c r="V211" s="117"/>
      <c r="W211" s="117"/>
      <c r="X211" s="117"/>
      <c r="Y211" s="117"/>
      <c r="Z211" s="117"/>
      <c r="AA211" s="117"/>
      <c r="AB211" s="117"/>
      <c r="AC211" s="117"/>
      <c r="AD211" s="117"/>
      <c r="AE211" s="117"/>
      <c r="AF211" s="117"/>
      <c r="AG211" s="117"/>
      <c r="AH211" s="117"/>
      <c r="AI211" s="117"/>
      <c r="AJ211" s="117"/>
      <c r="AK211" s="117"/>
      <c r="AL211" s="117"/>
      <c r="AM211" s="117"/>
      <c r="AN211" s="117"/>
      <c r="AO211" s="117"/>
      <c r="AP211" s="117"/>
      <c r="AQ211" s="117"/>
      <c r="AR211" s="117"/>
      <c r="AS211" s="117"/>
      <c r="AT211" s="117"/>
    </row>
    <row r="212" spans="1:46" s="109" customFormat="1" ht="96.6" x14ac:dyDescent="0.3">
      <c r="A212" s="1">
        <v>6</v>
      </c>
      <c r="B212" s="2" t="s">
        <v>294</v>
      </c>
      <c r="C212" s="45" t="s">
        <v>267</v>
      </c>
      <c r="D212" s="48" t="s">
        <v>10</v>
      </c>
      <c r="E212" s="94">
        <f t="shared" si="20"/>
        <v>2</v>
      </c>
      <c r="F212" s="50">
        <v>2500</v>
      </c>
      <c r="G212" s="50">
        <f t="shared" si="21"/>
        <v>5000</v>
      </c>
      <c r="I212" s="110"/>
      <c r="J212" s="110"/>
      <c r="K212" s="65"/>
      <c r="L212" s="110"/>
      <c r="N212" s="53">
        <v>2</v>
      </c>
      <c r="P212" s="111"/>
    </row>
    <row r="213" spans="1:46" s="109" customFormat="1" ht="110.4" x14ac:dyDescent="0.3">
      <c r="A213" s="1">
        <v>6</v>
      </c>
      <c r="B213" s="2" t="s">
        <v>295</v>
      </c>
      <c r="C213" s="45" t="s">
        <v>268</v>
      </c>
      <c r="D213" s="48" t="s">
        <v>10</v>
      </c>
      <c r="E213" s="94">
        <f t="shared" si="20"/>
        <v>2</v>
      </c>
      <c r="F213" s="50">
        <v>8000</v>
      </c>
      <c r="G213" s="50">
        <f t="shared" si="21"/>
        <v>16000</v>
      </c>
      <c r="I213" s="110"/>
      <c r="J213" s="110"/>
      <c r="K213" s="100"/>
      <c r="L213" s="110"/>
      <c r="N213" s="53">
        <v>2</v>
      </c>
      <c r="P213" s="111"/>
    </row>
    <row r="214" spans="1:46" s="52" customFormat="1" ht="110.4" x14ac:dyDescent="0.3">
      <c r="A214" s="1">
        <v>6</v>
      </c>
      <c r="B214" s="2" t="s">
        <v>302</v>
      </c>
      <c r="C214" s="80" t="s">
        <v>296</v>
      </c>
      <c r="D214" s="95" t="s">
        <v>10</v>
      </c>
      <c r="E214" s="94">
        <f t="shared" si="20"/>
        <v>1</v>
      </c>
      <c r="F214" s="93">
        <v>5000</v>
      </c>
      <c r="G214" s="93">
        <f t="shared" si="21"/>
        <v>5000</v>
      </c>
      <c r="H214" s="81"/>
      <c r="I214" s="40"/>
      <c r="J214" s="41"/>
      <c r="K214" s="100">
        <v>1</v>
      </c>
      <c r="L214" s="43"/>
      <c r="P214" s="14"/>
    </row>
    <row r="215" spans="1:46" s="52" customFormat="1" ht="96.6" x14ac:dyDescent="0.3">
      <c r="A215" s="1">
        <v>6</v>
      </c>
      <c r="B215" s="2" t="s">
        <v>303</v>
      </c>
      <c r="C215" s="80" t="s">
        <v>297</v>
      </c>
      <c r="D215" s="95" t="s">
        <v>10</v>
      </c>
      <c r="E215" s="94">
        <f t="shared" si="20"/>
        <v>1</v>
      </c>
      <c r="F215" s="93">
        <v>1300</v>
      </c>
      <c r="G215" s="93">
        <f t="shared" si="21"/>
        <v>1300</v>
      </c>
      <c r="H215" s="81"/>
      <c r="I215" s="40"/>
      <c r="J215" s="41"/>
      <c r="K215" s="100">
        <v>1</v>
      </c>
      <c r="L215" s="43"/>
      <c r="P215" s="14"/>
    </row>
    <row r="216" spans="1:46" s="52" customFormat="1" ht="69" x14ac:dyDescent="0.3">
      <c r="A216" s="1">
        <v>6</v>
      </c>
      <c r="B216" s="2" t="s">
        <v>304</v>
      </c>
      <c r="C216" s="80" t="s">
        <v>298</v>
      </c>
      <c r="D216" s="95" t="s">
        <v>10</v>
      </c>
      <c r="E216" s="94">
        <f t="shared" si="20"/>
        <v>1</v>
      </c>
      <c r="F216" s="93">
        <v>1200</v>
      </c>
      <c r="G216" s="93">
        <f t="shared" si="21"/>
        <v>1200</v>
      </c>
      <c r="H216" s="81"/>
      <c r="I216" s="40"/>
      <c r="J216" s="41"/>
      <c r="K216" s="100">
        <v>1</v>
      </c>
      <c r="L216" s="43"/>
      <c r="P216" s="14"/>
    </row>
    <row r="217" spans="1:46" s="52" customFormat="1" ht="69" x14ac:dyDescent="0.3">
      <c r="A217" s="1">
        <v>6</v>
      </c>
      <c r="B217" s="2" t="s">
        <v>305</v>
      </c>
      <c r="C217" s="80" t="s">
        <v>299</v>
      </c>
      <c r="D217" s="95" t="s">
        <v>10</v>
      </c>
      <c r="E217" s="94">
        <f t="shared" si="20"/>
        <v>1</v>
      </c>
      <c r="F217" s="93">
        <v>3000</v>
      </c>
      <c r="G217" s="93">
        <f t="shared" si="21"/>
        <v>3000</v>
      </c>
      <c r="H217" s="81"/>
      <c r="I217" s="40"/>
      <c r="J217" s="41"/>
      <c r="K217" s="100">
        <v>1</v>
      </c>
      <c r="L217" s="43"/>
      <c r="P217" s="14"/>
    </row>
    <row r="218" spans="1:46" s="52" customFormat="1" ht="69" x14ac:dyDescent="0.3">
      <c r="A218" s="1">
        <v>6</v>
      </c>
      <c r="B218" s="2" t="s">
        <v>306</v>
      </c>
      <c r="C218" s="80" t="s">
        <v>300</v>
      </c>
      <c r="D218" s="95" t="s">
        <v>10</v>
      </c>
      <c r="E218" s="94">
        <f t="shared" si="20"/>
        <v>1</v>
      </c>
      <c r="F218" s="93">
        <v>2000</v>
      </c>
      <c r="G218" s="93">
        <f t="shared" si="21"/>
        <v>2000</v>
      </c>
      <c r="H218" s="81"/>
      <c r="I218" s="40"/>
      <c r="J218" s="41"/>
      <c r="K218" s="100">
        <v>1</v>
      </c>
      <c r="L218" s="43"/>
      <c r="P218" s="14"/>
    </row>
    <row r="219" spans="1:46" s="52" customFormat="1" ht="69" x14ac:dyDescent="0.3">
      <c r="A219" s="1">
        <v>6</v>
      </c>
      <c r="B219" s="2" t="s">
        <v>307</v>
      </c>
      <c r="C219" s="80" t="s">
        <v>301</v>
      </c>
      <c r="D219" s="95" t="s">
        <v>10</v>
      </c>
      <c r="E219" s="94">
        <f t="shared" si="20"/>
        <v>1</v>
      </c>
      <c r="F219" s="93">
        <v>16000</v>
      </c>
      <c r="G219" s="93">
        <f t="shared" si="21"/>
        <v>16000</v>
      </c>
      <c r="H219" s="81"/>
      <c r="I219" s="40"/>
      <c r="J219" s="41"/>
      <c r="K219" s="100">
        <v>1</v>
      </c>
      <c r="L219" s="43"/>
    </row>
    <row r="220" spans="1:46" x14ac:dyDescent="0.3">
      <c r="A220" s="28" t="s">
        <v>97</v>
      </c>
      <c r="B220" s="29"/>
      <c r="C220" s="46" t="s">
        <v>95</v>
      </c>
      <c r="D220" s="31"/>
      <c r="E220" s="32"/>
      <c r="F220" s="33"/>
      <c r="G220" s="33"/>
      <c r="H220" s="63"/>
      <c r="I220" s="60"/>
      <c r="J220" s="42"/>
      <c r="K220" s="100"/>
      <c r="L220" s="68"/>
      <c r="M220" s="70"/>
      <c r="N220" s="51"/>
      <c r="O220" s="52"/>
      <c r="P220" s="52"/>
      <c r="Q220" s="52"/>
    </row>
    <row r="221" spans="1:46" ht="96.6" x14ac:dyDescent="0.3">
      <c r="A221" s="1">
        <v>7</v>
      </c>
      <c r="B221" s="2" t="s">
        <v>8</v>
      </c>
      <c r="C221" s="45" t="s">
        <v>96</v>
      </c>
      <c r="D221" s="95" t="s">
        <v>18</v>
      </c>
      <c r="E221" s="94">
        <f>SUM(H221:N221)</f>
        <v>6.15</v>
      </c>
      <c r="F221" s="93">
        <v>450</v>
      </c>
      <c r="G221" s="93">
        <f>E221*F221</f>
        <v>2767.5</v>
      </c>
      <c r="H221" s="63"/>
      <c r="I221" s="60"/>
      <c r="J221" s="42"/>
      <c r="K221" s="100"/>
      <c r="L221" s="68"/>
      <c r="M221" s="70"/>
      <c r="N221" s="51">
        <v>6.15</v>
      </c>
      <c r="O221" s="52"/>
      <c r="P221" s="52"/>
      <c r="Q221" s="52"/>
    </row>
    <row r="222" spans="1:46" x14ac:dyDescent="0.3">
      <c r="A222" s="28" t="s">
        <v>102</v>
      </c>
      <c r="B222" s="29"/>
      <c r="C222" s="46" t="s">
        <v>98</v>
      </c>
      <c r="D222" s="31"/>
      <c r="E222" s="32"/>
      <c r="F222" s="33"/>
      <c r="G222" s="33"/>
      <c r="H222" s="63"/>
      <c r="I222" s="60"/>
      <c r="J222" s="42"/>
      <c r="K222" s="100"/>
      <c r="L222" s="68"/>
      <c r="M222" s="70"/>
      <c r="N222" s="51"/>
      <c r="O222" s="52"/>
      <c r="P222" s="52"/>
      <c r="Q222" s="52"/>
    </row>
    <row r="223" spans="1:46" ht="207" x14ac:dyDescent="0.3">
      <c r="A223" s="1">
        <v>8</v>
      </c>
      <c r="B223" s="2" t="s">
        <v>8</v>
      </c>
      <c r="C223" s="45" t="s">
        <v>99</v>
      </c>
      <c r="D223" s="95" t="s">
        <v>25</v>
      </c>
      <c r="E223" s="94">
        <f>SUM(H223:N223)</f>
        <v>22.509999999999998</v>
      </c>
      <c r="F223" s="93">
        <f>O223</f>
        <v>558</v>
      </c>
      <c r="G223" s="93">
        <f>$E223*$F223</f>
        <v>12560.579999999998</v>
      </c>
      <c r="H223" s="63"/>
      <c r="I223" s="60"/>
      <c r="J223" s="42">
        <f>5.76+7.68+7.68</f>
        <v>21.119999999999997</v>
      </c>
      <c r="K223" s="100"/>
      <c r="L223" s="68"/>
      <c r="M223" s="70"/>
      <c r="N223" s="51">
        <v>1.39</v>
      </c>
      <c r="O223" s="52">
        <f>258+50+250</f>
        <v>558</v>
      </c>
      <c r="P223" s="52"/>
      <c r="Q223" s="52">
        <v>360</v>
      </c>
    </row>
    <row r="224" spans="1:46" ht="151.80000000000001" x14ac:dyDescent="0.3">
      <c r="A224" s="1">
        <v>8</v>
      </c>
      <c r="B224" s="2" t="s">
        <v>11</v>
      </c>
      <c r="C224" s="45" t="s">
        <v>100</v>
      </c>
      <c r="D224" s="95" t="s">
        <v>25</v>
      </c>
      <c r="E224" s="94">
        <f>SUM(H224:N224)</f>
        <v>151.91</v>
      </c>
      <c r="F224" s="93">
        <v>168</v>
      </c>
      <c r="G224" s="93">
        <f t="shared" ref="G224:G225" si="22">$E224*$F224</f>
        <v>25520.880000000001</v>
      </c>
      <c r="H224" s="63">
        <v>113.25</v>
      </c>
      <c r="I224" s="60">
        <v>16.149999999999999</v>
      </c>
      <c r="J224" s="42">
        <v>21.12</v>
      </c>
      <c r="K224" s="100"/>
      <c r="L224" s="68"/>
      <c r="M224" s="70"/>
      <c r="N224" s="51">
        <v>1.39</v>
      </c>
      <c r="O224" s="52">
        <f>168+90</f>
        <v>258</v>
      </c>
      <c r="P224" s="52"/>
      <c r="Q224" s="52">
        <v>170</v>
      </c>
    </row>
    <row r="225" spans="1:17" ht="138" x14ac:dyDescent="0.3">
      <c r="A225" s="1">
        <v>8</v>
      </c>
      <c r="B225" s="2" t="s">
        <v>13</v>
      </c>
      <c r="C225" s="45" t="s">
        <v>101</v>
      </c>
      <c r="D225" s="95" t="s">
        <v>25</v>
      </c>
      <c r="E225" s="94">
        <f>SUM(H225:N225)</f>
        <v>2858.4</v>
      </c>
      <c r="F225" s="44">
        <v>55</v>
      </c>
      <c r="G225" s="93">
        <f t="shared" si="22"/>
        <v>157212</v>
      </c>
      <c r="H225" s="63">
        <v>1815</v>
      </c>
      <c r="I225" s="60">
        <v>1043.4000000000001</v>
      </c>
      <c r="J225" s="42"/>
      <c r="K225" s="100"/>
      <c r="L225" s="68"/>
      <c r="M225" s="70"/>
      <c r="N225" s="51"/>
      <c r="O225" s="52">
        <f>168+90</f>
        <v>258</v>
      </c>
      <c r="P225" s="52"/>
      <c r="Q225" s="52">
        <v>170</v>
      </c>
    </row>
    <row r="226" spans="1:17" x14ac:dyDescent="0.3">
      <c r="A226" s="28" t="s">
        <v>105</v>
      </c>
      <c r="B226" s="29"/>
      <c r="C226" s="46" t="s">
        <v>103</v>
      </c>
      <c r="D226" s="31"/>
      <c r="E226" s="32"/>
      <c r="F226" s="33"/>
      <c r="G226" s="33"/>
      <c r="H226" s="63"/>
      <c r="I226" s="60"/>
      <c r="J226" s="42"/>
      <c r="K226" s="100"/>
      <c r="L226" s="68"/>
      <c r="M226" s="70"/>
      <c r="N226" s="51"/>
      <c r="O226" s="52"/>
      <c r="P226" s="52"/>
      <c r="Q226" s="52"/>
    </row>
    <row r="227" spans="1:17" ht="82.8" x14ac:dyDescent="0.3">
      <c r="A227" s="1">
        <v>9</v>
      </c>
      <c r="B227" s="2" t="s">
        <v>8</v>
      </c>
      <c r="C227" s="45" t="s">
        <v>104</v>
      </c>
      <c r="D227" s="48" t="s">
        <v>25</v>
      </c>
      <c r="E227" s="49">
        <f>SUM(H227:N227)</f>
        <v>15.82</v>
      </c>
      <c r="F227" s="50">
        <v>430</v>
      </c>
      <c r="G227" s="50">
        <f>$E227*$F227</f>
        <v>6802.6</v>
      </c>
      <c r="H227" s="63"/>
      <c r="I227" s="60"/>
      <c r="J227" s="42">
        <f>5.51+5.51+4.8</f>
        <v>15.82</v>
      </c>
      <c r="K227" s="100"/>
      <c r="L227" s="68"/>
      <c r="M227" s="70"/>
      <c r="N227" s="51"/>
      <c r="O227" s="53"/>
      <c r="P227" s="53"/>
      <c r="Q227" s="53"/>
    </row>
    <row r="228" spans="1:17" x14ac:dyDescent="0.3">
      <c r="A228" s="28" t="s">
        <v>117</v>
      </c>
      <c r="B228" s="29"/>
      <c r="C228" s="46" t="s">
        <v>106</v>
      </c>
      <c r="D228" s="31"/>
      <c r="E228" s="32"/>
      <c r="F228" s="33"/>
      <c r="G228" s="33"/>
      <c r="H228" s="63"/>
      <c r="I228" s="60"/>
      <c r="J228" s="42"/>
      <c r="K228" s="100"/>
      <c r="L228" s="68"/>
      <c r="M228" s="70"/>
      <c r="N228" s="51"/>
      <c r="O228" s="52"/>
      <c r="P228" s="52"/>
      <c r="Q228" s="52"/>
    </row>
    <row r="229" spans="1:17" ht="193.2" x14ac:dyDescent="0.3">
      <c r="A229" s="1">
        <v>10</v>
      </c>
      <c r="B229" s="2" t="s">
        <v>8</v>
      </c>
      <c r="C229" s="3" t="s">
        <v>441</v>
      </c>
      <c r="D229" s="95" t="s">
        <v>25</v>
      </c>
      <c r="E229" s="94">
        <f>SUM(H229:N229)</f>
        <v>1057.77</v>
      </c>
      <c r="F229" s="93">
        <v>84</v>
      </c>
      <c r="G229" s="93">
        <f>$E229*$F229</f>
        <v>88852.68</v>
      </c>
      <c r="H229" s="63">
        <f>329.25+12.44</f>
        <v>341.69</v>
      </c>
      <c r="I229" s="60">
        <v>459.65</v>
      </c>
      <c r="J229" s="42">
        <f>46.18+50.34+50.05</f>
        <v>146.57</v>
      </c>
      <c r="K229" s="100"/>
      <c r="L229" s="68"/>
      <c r="M229" s="70"/>
      <c r="N229" s="51">
        <f>9.6+9+17.66+11.36+10.36+12.04+12.44+7.64+19.76</f>
        <v>109.86000000000001</v>
      </c>
      <c r="O229" s="52">
        <v>80</v>
      </c>
      <c r="P229" s="52"/>
      <c r="Q229" s="52">
        <v>60</v>
      </c>
    </row>
    <row r="230" spans="1:17" x14ac:dyDescent="0.3">
      <c r="A230" s="34"/>
      <c r="B230" s="74"/>
      <c r="C230" s="75"/>
      <c r="D230" s="104"/>
      <c r="E230" s="105"/>
      <c r="F230" s="93" t="s">
        <v>19</v>
      </c>
      <c r="G230" s="93">
        <f>SUM(G49:G229)</f>
        <v>3190196.142</v>
      </c>
      <c r="H230" s="63"/>
      <c r="I230" s="60"/>
      <c r="J230" s="42"/>
      <c r="K230" s="100"/>
      <c r="L230" s="68"/>
      <c r="M230" s="70"/>
      <c r="N230" s="51"/>
      <c r="O230" s="52"/>
      <c r="P230" s="52"/>
      <c r="Q230" s="52"/>
    </row>
    <row r="231" spans="1:17" x14ac:dyDescent="0.3">
      <c r="A231" s="76"/>
      <c r="B231" s="35"/>
      <c r="C231" s="77"/>
      <c r="D231" s="78"/>
      <c r="E231" s="79"/>
      <c r="F231" s="93" t="s">
        <v>20</v>
      </c>
      <c r="G231" s="93">
        <f>G230*0.25</f>
        <v>797549.0355</v>
      </c>
      <c r="H231" s="63"/>
      <c r="I231" s="60"/>
      <c r="J231" s="42"/>
      <c r="K231" s="100"/>
      <c r="L231" s="68"/>
      <c r="M231" s="70"/>
      <c r="N231" s="51"/>
      <c r="O231" s="52"/>
      <c r="P231" s="52"/>
      <c r="Q231" s="52"/>
    </row>
    <row r="232" spans="1:17" x14ac:dyDescent="0.3">
      <c r="A232" s="76"/>
      <c r="B232" s="35"/>
      <c r="C232" s="77"/>
      <c r="D232" s="78"/>
      <c r="E232" s="79"/>
      <c r="F232" s="13" t="s">
        <v>21</v>
      </c>
      <c r="G232" s="93">
        <f>SUM(G230:G231)</f>
        <v>3987745.1775000002</v>
      </c>
      <c r="H232" s="63"/>
      <c r="I232" s="60"/>
      <c r="J232" s="42"/>
      <c r="K232" s="100"/>
      <c r="L232" s="68"/>
      <c r="M232" s="70"/>
      <c r="N232" s="51"/>
      <c r="O232" s="52"/>
      <c r="P232" s="52"/>
      <c r="Q232" s="52"/>
    </row>
  </sheetData>
  <mergeCells count="32">
    <mergeCell ref="A23:G23"/>
    <mergeCell ref="A149:A150"/>
    <mergeCell ref="B149:B150"/>
    <mergeCell ref="D149:D150"/>
    <mergeCell ref="E149:E150"/>
    <mergeCell ref="F149:F150"/>
    <mergeCell ref="G149:G150"/>
    <mergeCell ref="G173:G174"/>
    <mergeCell ref="K149:K150"/>
    <mergeCell ref="A162:A163"/>
    <mergeCell ref="B162:B163"/>
    <mergeCell ref="D162:D163"/>
    <mergeCell ref="E162:E163"/>
    <mergeCell ref="F162:F163"/>
    <mergeCell ref="G162:G163"/>
    <mergeCell ref="A173:A174"/>
    <mergeCell ref="B173:B174"/>
    <mergeCell ref="D173:D174"/>
    <mergeCell ref="E173:E174"/>
    <mergeCell ref="F173:F174"/>
    <mergeCell ref="G180:G181"/>
    <mergeCell ref="A177:A178"/>
    <mergeCell ref="B177:B178"/>
    <mergeCell ref="D177:D178"/>
    <mergeCell ref="E177:E178"/>
    <mergeCell ref="F177:F178"/>
    <mergeCell ref="G177:G178"/>
    <mergeCell ref="A180:A181"/>
    <mergeCell ref="B180:B181"/>
    <mergeCell ref="D180:D181"/>
    <mergeCell ref="E180:E181"/>
    <mergeCell ref="F180:F181"/>
  </mergeCells>
  <pageMargins left="0.98425196850393704" right="0.39370078740157483" top="1.1811023622047245" bottom="0.78740157480314965" header="0.39370078740157483" footer="0.39370078740157483"/>
  <pageSetup paperSize="9" scale="96" orientation="portrait" r:id="rId1"/>
  <headerFooter>
    <oddHeader>&amp;L&amp;G&amp;R&amp;G</oddHeader>
    <oddFooter xml:space="preserve">&amp;L&amp;"-,Bold"&amp;9TROŠKOVNIK &amp;A&amp;"-,Regular"     &amp;KFF0000 &amp;K000000GRAĐEVINSKI PROJEKT - PROJEKT POPRAVKA GRAĐEVINSKE KONSTRUKCIJE     GPP-13/21&amp;R&amp;"-,Bold"&amp;9&amp;P/&amp;N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50E6F-F72D-4280-91FF-267134B7C91B}">
  <sheetPr codeName="Sheet2"/>
  <dimension ref="A12:AD12"/>
  <sheetViews>
    <sheetView view="pageBreakPreview" zoomScaleNormal="100" zoomScaleSheetLayoutView="100" zoomScalePageLayoutView="60" workbookViewId="0">
      <selection activeCell="U37" sqref="U37"/>
    </sheetView>
  </sheetViews>
  <sheetFormatPr defaultRowHeight="14.4" x14ac:dyDescent="0.3"/>
  <cols>
    <col min="1" max="1" width="3.6640625" style="8" customWidth="1"/>
    <col min="2" max="2" width="3.6640625" style="9" customWidth="1"/>
    <col min="3" max="3" width="40.6640625" style="10" customWidth="1"/>
    <col min="4" max="4" width="7.6640625" style="11" customWidth="1"/>
    <col min="5" max="5" width="8.6640625" style="12" customWidth="1"/>
    <col min="6" max="6" width="12.6640625" style="14" customWidth="1"/>
    <col min="7" max="7" width="13.6640625" style="14" customWidth="1"/>
    <col min="8" max="8" width="8.88671875" style="61" hidden="1" customWidth="1"/>
    <col min="9" max="9" width="11" style="58" hidden="1" customWidth="1"/>
    <col min="10" max="10" width="8.88671875" style="57" hidden="1" customWidth="1"/>
    <col min="11" max="11" width="8.88671875" style="96" hidden="1" customWidth="1"/>
    <col min="12" max="12" width="8.88671875" style="72" hidden="1" customWidth="1"/>
    <col min="13" max="13" width="8.88671875" style="73" hidden="1" customWidth="1"/>
    <col min="14" max="14" width="8.88671875" style="55" hidden="1" customWidth="1"/>
    <col min="15" max="15" width="12" hidden="1" customWidth="1"/>
    <col min="16" max="16" width="5" hidden="1" customWidth="1"/>
    <col min="17" max="17" width="11.33203125" hidden="1" customWidth="1"/>
    <col min="26" max="26" width="11.109375" bestFit="1" customWidth="1"/>
  </cols>
  <sheetData>
    <row r="12" spans="1:30" s="61" customFormat="1" ht="71.25" customHeight="1" x14ac:dyDescent="0.3">
      <c r="A12" s="290" t="s">
        <v>333</v>
      </c>
      <c r="B12" s="291"/>
      <c r="C12" s="291"/>
      <c r="D12" s="291"/>
      <c r="E12" s="291"/>
      <c r="F12" s="291"/>
      <c r="G12" s="291"/>
      <c r="I12" s="58"/>
      <c r="J12" s="57"/>
      <c r="K12" s="96"/>
      <c r="L12" s="72"/>
      <c r="M12" s="73"/>
      <c r="N12" s="55"/>
      <c r="O12"/>
      <c r="P12"/>
      <c r="Q12"/>
      <c r="R12"/>
      <c r="S12"/>
      <c r="T12"/>
      <c r="U12"/>
      <c r="V12"/>
      <c r="W12"/>
      <c r="X12"/>
      <c r="Y12"/>
      <c r="Z12"/>
      <c r="AA12"/>
      <c r="AB12"/>
      <c r="AC12"/>
      <c r="AD12"/>
    </row>
  </sheetData>
  <mergeCells count="1">
    <mergeCell ref="A12:G12"/>
  </mergeCells>
  <pageMargins left="0.98425196850393704" right="0.39370078740157483" top="1.1811023622047245" bottom="0.78740157480314965" header="0.39370078740157483" footer="0.39370078740157483"/>
  <pageSetup paperSize="9" scale="96" orientation="portrait" r:id="rId1"/>
  <headerFooter>
    <oddHeader>&amp;L&amp;G&amp;R&amp;G</oddHeader>
    <oddFooter>&amp;L&amp;"-,Bold"&amp;9TROŠKOVNICI &amp;"-,Regular"     &amp;KFF0000 &amp;K000000GRAĐEVINSKI PROJEKT - PROJEKT POPRAVKA GRAĐEVINSKE KONSTRUKCIJE     GPP-13/21</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5F97D-9C41-4239-B69E-B3918D27BAD6}">
  <sheetPr codeName="Sheet3"/>
  <dimension ref="A12:AH97"/>
  <sheetViews>
    <sheetView view="pageBreakPreview" topLeftCell="A52" zoomScaleNormal="100" zoomScaleSheetLayoutView="100" zoomScalePageLayoutView="60" workbookViewId="0">
      <selection activeCell="C52" sqref="C52"/>
    </sheetView>
  </sheetViews>
  <sheetFormatPr defaultRowHeight="14.4" x14ac:dyDescent="0.3"/>
  <cols>
    <col min="1" max="1" width="3.6640625" style="8" customWidth="1"/>
    <col min="2" max="2" width="3.6640625" style="9" customWidth="1"/>
    <col min="3" max="3" width="40.6640625" style="10" customWidth="1"/>
    <col min="4" max="4" width="7.6640625" style="11" customWidth="1"/>
    <col min="5" max="5" width="8.6640625" style="12" customWidth="1"/>
    <col min="6" max="6" width="12.6640625" style="14" customWidth="1"/>
    <col min="7" max="7" width="13.6640625" style="14" customWidth="1"/>
    <col min="8" max="8" width="8.88671875" style="61" hidden="1" customWidth="1"/>
    <col min="9" max="9" width="11" style="58" hidden="1" customWidth="1"/>
    <col min="10" max="10" width="8.88671875" style="57" hidden="1" customWidth="1"/>
    <col min="11" max="11" width="8.88671875" style="96" hidden="1" customWidth="1"/>
    <col min="12" max="12" width="8.88671875" style="72" hidden="1" customWidth="1"/>
    <col min="13" max="13" width="8.88671875" style="73" hidden="1" customWidth="1"/>
    <col min="14" max="14" width="8.88671875" style="55" hidden="1" customWidth="1"/>
    <col min="15" max="15" width="12" hidden="1" customWidth="1"/>
    <col min="16" max="16" width="5" hidden="1" customWidth="1"/>
    <col min="17" max="17" width="11.33203125" hidden="1" customWidth="1"/>
    <col min="26" max="26" width="11.109375" bestFit="1" customWidth="1"/>
  </cols>
  <sheetData>
    <row r="12" spans="1:30" s="61" customFormat="1" ht="71.25" customHeight="1" x14ac:dyDescent="0.3">
      <c r="A12" s="287" t="s">
        <v>323</v>
      </c>
      <c r="B12" s="288"/>
      <c r="C12" s="288"/>
      <c r="D12" s="288"/>
      <c r="E12" s="288"/>
      <c r="F12" s="288"/>
      <c r="G12" s="288"/>
      <c r="I12" s="58"/>
      <c r="J12" s="57"/>
      <c r="K12" s="96"/>
      <c r="L12" s="72"/>
      <c r="M12" s="73"/>
      <c r="N12" s="55"/>
      <c r="O12"/>
      <c r="P12"/>
      <c r="Q12"/>
      <c r="R12"/>
      <c r="S12"/>
      <c r="T12"/>
      <c r="U12"/>
      <c r="V12"/>
      <c r="W12"/>
      <c r="X12"/>
      <c r="Y12"/>
      <c r="Z12"/>
      <c r="AA12"/>
      <c r="AB12"/>
      <c r="AC12"/>
      <c r="AD12"/>
    </row>
    <row r="16" spans="1:30" ht="50.25" customHeight="1" x14ac:dyDescent="0.3">
      <c r="A16" s="292" t="s">
        <v>514</v>
      </c>
      <c r="B16" s="289"/>
      <c r="C16" s="289"/>
      <c r="D16" s="289"/>
      <c r="E16" s="289"/>
      <c r="F16" s="289"/>
      <c r="G16" s="289"/>
      <c r="K16" s="71"/>
    </row>
    <row r="47" spans="1:17" ht="41.4" x14ac:dyDescent="0.3">
      <c r="A47" s="15" t="s">
        <v>0</v>
      </c>
      <c r="B47" s="16"/>
      <c r="C47" s="17" t="s">
        <v>1</v>
      </c>
      <c r="D47" s="18" t="s">
        <v>2</v>
      </c>
      <c r="E47" s="19" t="s">
        <v>3</v>
      </c>
      <c r="F47" s="20" t="s">
        <v>4</v>
      </c>
      <c r="G47" s="21" t="s">
        <v>5</v>
      </c>
      <c r="H47" s="62" t="s">
        <v>110</v>
      </c>
      <c r="I47" s="59" t="s">
        <v>111</v>
      </c>
      <c r="J47" s="54" t="s">
        <v>112</v>
      </c>
      <c r="K47" s="97"/>
      <c r="L47" s="67"/>
      <c r="M47" s="69"/>
      <c r="N47" s="56"/>
      <c r="O47" s="52" t="s">
        <v>107</v>
      </c>
      <c r="P47" s="52" t="s">
        <v>108</v>
      </c>
      <c r="Q47" s="52" t="s">
        <v>109</v>
      </c>
    </row>
    <row r="48" spans="1:17" x14ac:dyDescent="0.3">
      <c r="A48" s="28" t="s">
        <v>6</v>
      </c>
      <c r="B48" s="29"/>
      <c r="C48" s="30" t="s">
        <v>7</v>
      </c>
      <c r="D48" s="31"/>
      <c r="E48" s="32"/>
      <c r="F48" s="33"/>
      <c r="G48" s="33"/>
    </row>
    <row r="49" spans="1:17" ht="331.2" x14ac:dyDescent="0.3">
      <c r="A49" s="1">
        <v>1</v>
      </c>
      <c r="B49" s="2" t="s">
        <v>8</v>
      </c>
      <c r="C49" s="3" t="s">
        <v>22</v>
      </c>
      <c r="D49" s="95" t="s">
        <v>10</v>
      </c>
      <c r="E49" s="94">
        <v>1</v>
      </c>
      <c r="F49" s="93">
        <f>SUM(H49:N49)</f>
        <v>38000</v>
      </c>
      <c r="G49" s="93">
        <f t="shared" ref="G49:G62" si="0">$E49*$F49</f>
        <v>38000</v>
      </c>
      <c r="H49" s="63">
        <v>16000</v>
      </c>
      <c r="I49" s="60">
        <v>16000</v>
      </c>
      <c r="J49" s="42">
        <v>6000</v>
      </c>
      <c r="K49" s="100"/>
      <c r="L49" s="68"/>
      <c r="M49" s="70"/>
      <c r="N49" s="51"/>
      <c r="O49" s="52"/>
      <c r="P49" s="52"/>
      <c r="Q49" s="52"/>
    </row>
    <row r="50" spans="1:17" ht="220.8" x14ac:dyDescent="0.3">
      <c r="A50" s="1">
        <v>1</v>
      </c>
      <c r="B50" s="2" t="s">
        <v>11</v>
      </c>
      <c r="C50" s="3" t="s">
        <v>23</v>
      </c>
      <c r="D50" s="95" t="s">
        <v>10</v>
      </c>
      <c r="E50" s="94">
        <v>1</v>
      </c>
      <c r="F50" s="93">
        <f>SUM(H50:N50)</f>
        <v>140000</v>
      </c>
      <c r="G50" s="93">
        <f t="shared" si="0"/>
        <v>140000</v>
      </c>
      <c r="H50" s="63">
        <v>65000</v>
      </c>
      <c r="I50" s="60">
        <v>55000</v>
      </c>
      <c r="J50" s="42">
        <v>20000</v>
      </c>
      <c r="K50" s="100"/>
      <c r="L50" s="68"/>
      <c r="M50" s="70"/>
      <c r="N50" s="51"/>
      <c r="O50" s="52"/>
      <c r="P50" s="52"/>
      <c r="Q50" s="52"/>
    </row>
    <row r="51" spans="1:17" ht="138" x14ac:dyDescent="0.3">
      <c r="A51" s="1">
        <v>1</v>
      </c>
      <c r="B51" s="2" t="s">
        <v>13</v>
      </c>
      <c r="C51" s="3" t="s">
        <v>24</v>
      </c>
      <c r="D51" s="95" t="s">
        <v>25</v>
      </c>
      <c r="E51" s="94">
        <f t="shared" ref="E51:E63" si="1">SUM(H51:N51)</f>
        <v>2902.4</v>
      </c>
      <c r="F51" s="93">
        <v>250</v>
      </c>
      <c r="G51" s="93">
        <f t="shared" si="0"/>
        <v>725600</v>
      </c>
      <c r="H51" s="63">
        <f>165*11</f>
        <v>1815</v>
      </c>
      <c r="I51" s="60">
        <f>111*9.4</f>
        <v>1043.4000000000001</v>
      </c>
      <c r="J51" s="42">
        <f>4*11</f>
        <v>44</v>
      </c>
      <c r="K51" s="100"/>
      <c r="L51" s="68"/>
      <c r="M51" s="70"/>
      <c r="N51" s="51"/>
      <c r="O51" s="52"/>
      <c r="P51" s="52"/>
      <c r="Q51" s="52"/>
    </row>
    <row r="52" spans="1:17" ht="179.4" x14ac:dyDescent="0.3">
      <c r="A52" s="1">
        <v>1</v>
      </c>
      <c r="B52" s="2" t="s">
        <v>26</v>
      </c>
      <c r="C52" s="3" t="s">
        <v>27</v>
      </c>
      <c r="D52" s="95" t="s">
        <v>18</v>
      </c>
      <c r="E52" s="94">
        <f t="shared" si="1"/>
        <v>323</v>
      </c>
      <c r="F52" s="93">
        <v>150</v>
      </c>
      <c r="G52" s="93">
        <f t="shared" si="0"/>
        <v>48450</v>
      </c>
      <c r="H52" s="63">
        <v>188</v>
      </c>
      <c r="I52" s="60">
        <v>135</v>
      </c>
      <c r="J52" s="42"/>
      <c r="K52" s="100"/>
      <c r="L52" s="68"/>
      <c r="M52" s="70"/>
      <c r="N52" s="51"/>
      <c r="O52" s="52"/>
      <c r="P52" s="52"/>
      <c r="Q52" s="52"/>
    </row>
    <row r="53" spans="1:17" ht="165.6" x14ac:dyDescent="0.3">
      <c r="A53" s="1">
        <v>1</v>
      </c>
      <c r="B53" s="2" t="s">
        <v>28</v>
      </c>
      <c r="C53" s="3" t="s">
        <v>473</v>
      </c>
      <c r="D53" s="95" t="s">
        <v>29</v>
      </c>
      <c r="E53" s="94">
        <f t="shared" si="1"/>
        <v>2</v>
      </c>
      <c r="F53" s="93">
        <v>800</v>
      </c>
      <c r="G53" s="93">
        <f t="shared" si="0"/>
        <v>1600</v>
      </c>
      <c r="H53" s="63"/>
      <c r="I53" s="60"/>
      <c r="J53" s="42">
        <v>2</v>
      </c>
      <c r="K53" s="100"/>
      <c r="L53" s="68"/>
      <c r="M53" s="70"/>
      <c r="N53" s="51"/>
      <c r="O53" s="52"/>
      <c r="P53" s="52"/>
      <c r="Q53" s="52"/>
    </row>
    <row r="54" spans="1:17" ht="165.6" x14ac:dyDescent="0.3">
      <c r="A54" s="1">
        <v>1</v>
      </c>
      <c r="B54" s="2" t="s">
        <v>30</v>
      </c>
      <c r="C54" s="3" t="s">
        <v>451</v>
      </c>
      <c r="D54" s="95" t="s">
        <v>29</v>
      </c>
      <c r="E54" s="94">
        <f t="shared" si="1"/>
        <v>3</v>
      </c>
      <c r="F54" s="93">
        <v>500</v>
      </c>
      <c r="G54" s="93">
        <f t="shared" si="0"/>
        <v>1500</v>
      </c>
      <c r="H54" s="63"/>
      <c r="I54" s="60"/>
      <c r="J54" s="42">
        <v>3</v>
      </c>
      <c r="K54" s="100"/>
      <c r="L54" s="68"/>
      <c r="M54" s="70"/>
      <c r="N54" s="51"/>
      <c r="O54" s="52"/>
      <c r="P54" s="52"/>
      <c r="Q54" s="52"/>
    </row>
    <row r="55" spans="1:17" ht="165.6" x14ac:dyDescent="0.3">
      <c r="A55" s="1">
        <v>1</v>
      </c>
      <c r="B55" s="2" t="s">
        <v>31</v>
      </c>
      <c r="C55" s="3" t="s">
        <v>34</v>
      </c>
      <c r="D55" s="95" t="s">
        <v>29</v>
      </c>
      <c r="E55" s="94">
        <f t="shared" si="1"/>
        <v>1</v>
      </c>
      <c r="F55" s="93">
        <v>6000</v>
      </c>
      <c r="G55" s="93">
        <f t="shared" si="0"/>
        <v>6000</v>
      </c>
      <c r="H55" s="63">
        <v>1</v>
      </c>
      <c r="I55" s="60"/>
      <c r="J55" s="42"/>
      <c r="K55" s="100"/>
      <c r="L55" s="68"/>
      <c r="M55" s="70"/>
      <c r="N55" s="51"/>
      <c r="O55" s="52"/>
      <c r="P55" s="52"/>
      <c r="Q55" s="52"/>
    </row>
    <row r="56" spans="1:17" ht="110.1" customHeight="1" x14ac:dyDescent="0.3">
      <c r="A56" s="1">
        <v>1</v>
      </c>
      <c r="B56" s="2" t="s">
        <v>33</v>
      </c>
      <c r="C56" s="3" t="s">
        <v>36</v>
      </c>
      <c r="D56" s="95" t="s">
        <v>37</v>
      </c>
      <c r="E56" s="94">
        <f t="shared" si="1"/>
        <v>0.54</v>
      </c>
      <c r="F56" s="93">
        <v>1500</v>
      </c>
      <c r="G56" s="93">
        <f t="shared" si="0"/>
        <v>810</v>
      </c>
      <c r="H56" s="63"/>
      <c r="I56" s="60"/>
      <c r="J56" s="42">
        <v>0.54</v>
      </c>
      <c r="K56" s="100"/>
      <c r="L56" s="68"/>
      <c r="M56" s="70"/>
      <c r="N56" s="51"/>
      <c r="O56" s="52"/>
      <c r="P56" s="52"/>
      <c r="Q56" s="52"/>
    </row>
    <row r="57" spans="1:17" ht="138" customHeight="1" x14ac:dyDescent="0.3">
      <c r="A57" s="1">
        <v>1</v>
      </c>
      <c r="B57" s="2" t="s">
        <v>35</v>
      </c>
      <c r="C57" s="3" t="s">
        <v>41</v>
      </c>
      <c r="D57" s="95" t="s">
        <v>37</v>
      </c>
      <c r="E57" s="94">
        <f t="shared" si="1"/>
        <v>0.86199999999999999</v>
      </c>
      <c r="F57" s="93">
        <v>2500</v>
      </c>
      <c r="G57" s="93">
        <f t="shared" si="0"/>
        <v>2155</v>
      </c>
      <c r="H57" s="63"/>
      <c r="I57" s="60"/>
      <c r="J57" s="42">
        <f>0.304+0.282+0.276</f>
        <v>0.86199999999999999</v>
      </c>
      <c r="K57" s="100"/>
      <c r="L57" s="68"/>
      <c r="M57" s="70"/>
      <c r="N57" s="51"/>
      <c r="O57" s="52"/>
      <c r="P57" s="52"/>
      <c r="Q57" s="52"/>
    </row>
    <row r="58" spans="1:17" ht="248.4" x14ac:dyDescent="0.3">
      <c r="A58" s="1">
        <v>1</v>
      </c>
      <c r="B58" s="2" t="s">
        <v>38</v>
      </c>
      <c r="C58" s="3" t="s">
        <v>43</v>
      </c>
      <c r="D58" s="95" t="s">
        <v>25</v>
      </c>
      <c r="E58" s="94">
        <f t="shared" si="1"/>
        <v>992.45999999999992</v>
      </c>
      <c r="F58" s="93">
        <v>240</v>
      </c>
      <c r="G58" s="93">
        <f t="shared" si="0"/>
        <v>238190.4</v>
      </c>
      <c r="H58" s="63">
        <f>329.25+12.44</f>
        <v>341.69</v>
      </c>
      <c r="I58" s="60">
        <v>459.65</v>
      </c>
      <c r="J58" s="42">
        <f>47.23+23.1+42.12+6.3+43.35+23.1+1.76+2.08+2.08</f>
        <v>191.12</v>
      </c>
      <c r="K58" s="100"/>
      <c r="L58" s="68"/>
      <c r="M58" s="70"/>
      <c r="N58" s="51"/>
      <c r="O58" s="52"/>
      <c r="P58" s="52"/>
      <c r="Q58" s="52"/>
    </row>
    <row r="59" spans="1:17" ht="234.6" x14ac:dyDescent="0.3">
      <c r="A59" s="1">
        <v>1</v>
      </c>
      <c r="B59" s="2" t="s">
        <v>40</v>
      </c>
      <c r="C59" s="3" t="s">
        <v>45</v>
      </c>
      <c r="D59" s="95" t="s">
        <v>25</v>
      </c>
      <c r="E59" s="94">
        <f t="shared" si="1"/>
        <v>129.4</v>
      </c>
      <c r="F59" s="93">
        <v>210</v>
      </c>
      <c r="G59" s="93">
        <f t="shared" si="0"/>
        <v>27174</v>
      </c>
      <c r="H59" s="63">
        <v>113.25</v>
      </c>
      <c r="I59" s="60">
        <v>16.149999999999999</v>
      </c>
      <c r="J59" s="42"/>
      <c r="K59" s="100"/>
      <c r="L59" s="68"/>
      <c r="M59" s="70"/>
      <c r="N59" s="51"/>
      <c r="O59" s="52"/>
      <c r="P59" s="52"/>
      <c r="Q59" s="52"/>
    </row>
    <row r="60" spans="1:17" ht="193.2" x14ac:dyDescent="0.3">
      <c r="A60" s="1">
        <v>1</v>
      </c>
      <c r="B60" s="2" t="s">
        <v>42</v>
      </c>
      <c r="C60" s="3" t="s">
        <v>47</v>
      </c>
      <c r="D60" s="95" t="s">
        <v>25</v>
      </c>
      <c r="E60" s="94">
        <f t="shared" si="1"/>
        <v>1.07</v>
      </c>
      <c r="F60" s="93">
        <v>1800</v>
      </c>
      <c r="G60" s="93">
        <f t="shared" si="0"/>
        <v>1926</v>
      </c>
      <c r="H60" s="63"/>
      <c r="I60" s="60"/>
      <c r="J60" s="42">
        <f>0.32+0.375+0.375</f>
        <v>1.07</v>
      </c>
      <c r="K60" s="100"/>
      <c r="L60" s="68"/>
      <c r="M60" s="70"/>
      <c r="N60" s="51"/>
      <c r="O60" s="52"/>
      <c r="P60" s="52"/>
      <c r="Q60" s="52"/>
    </row>
    <row r="61" spans="1:17" ht="124.2" x14ac:dyDescent="0.3">
      <c r="A61" s="1">
        <v>1</v>
      </c>
      <c r="B61" s="2" t="s">
        <v>44</v>
      </c>
      <c r="C61" s="3" t="s">
        <v>49</v>
      </c>
      <c r="D61" s="95" t="s">
        <v>37</v>
      </c>
      <c r="E61" s="94">
        <f t="shared" si="1"/>
        <v>1.7999999999999998</v>
      </c>
      <c r="F61" s="93">
        <v>2800</v>
      </c>
      <c r="G61" s="93">
        <f t="shared" si="0"/>
        <v>5039.9999999999991</v>
      </c>
      <c r="H61" s="63"/>
      <c r="I61" s="60"/>
      <c r="J61" s="42">
        <f>0.61+0.61+0.58</f>
        <v>1.7999999999999998</v>
      </c>
      <c r="K61" s="100"/>
      <c r="L61" s="68"/>
      <c r="M61" s="70"/>
      <c r="N61" s="51"/>
      <c r="O61" s="52"/>
      <c r="P61" s="52"/>
      <c r="Q61" s="52"/>
    </row>
    <row r="62" spans="1:17" ht="138" x14ac:dyDescent="0.3">
      <c r="A62" s="1">
        <v>1</v>
      </c>
      <c r="B62" s="2" t="s">
        <v>46</v>
      </c>
      <c r="C62" s="3" t="s">
        <v>474</v>
      </c>
      <c r="D62" s="95" t="s">
        <v>25</v>
      </c>
      <c r="E62" s="94">
        <f t="shared" si="1"/>
        <v>92.04</v>
      </c>
      <c r="F62" s="93">
        <v>80</v>
      </c>
      <c r="G62" s="93">
        <f t="shared" si="0"/>
        <v>7363.2000000000007</v>
      </c>
      <c r="H62" s="63"/>
      <c r="I62" s="60"/>
      <c r="J62" s="42">
        <v>92.04</v>
      </c>
      <c r="K62" s="100"/>
      <c r="L62" s="68"/>
      <c r="M62" s="70"/>
      <c r="N62" s="51"/>
      <c r="O62" s="52"/>
      <c r="P62" s="52"/>
      <c r="Q62" s="52"/>
    </row>
    <row r="63" spans="1:17" ht="151.80000000000001" x14ac:dyDescent="0.3">
      <c r="A63" s="1">
        <v>1</v>
      </c>
      <c r="B63" s="2" t="s">
        <v>48</v>
      </c>
      <c r="C63" s="45" t="s">
        <v>475</v>
      </c>
      <c r="D63" s="95" t="s">
        <v>25</v>
      </c>
      <c r="E63" s="94">
        <f t="shared" si="1"/>
        <v>2858.4</v>
      </c>
      <c r="F63" s="93">
        <v>50</v>
      </c>
      <c r="G63" s="93">
        <f>$E63*$F63</f>
        <v>142920</v>
      </c>
      <c r="H63" s="63">
        <v>1815</v>
      </c>
      <c r="I63" s="60">
        <v>1043.4000000000001</v>
      </c>
      <c r="J63" s="42"/>
      <c r="K63" s="100"/>
      <c r="L63" s="68"/>
      <c r="M63" s="70"/>
      <c r="N63" s="51"/>
      <c r="O63" s="52"/>
      <c r="P63" s="52"/>
      <c r="Q63" s="52"/>
    </row>
    <row r="64" spans="1:17" ht="69.900000000000006" customHeight="1" x14ac:dyDescent="0.3">
      <c r="A64" s="1">
        <v>1</v>
      </c>
      <c r="B64" s="2" t="s">
        <v>50</v>
      </c>
      <c r="C64" s="3" t="s">
        <v>59</v>
      </c>
      <c r="D64" s="95" t="s">
        <v>37</v>
      </c>
      <c r="E64" s="94">
        <f>SUM(H64:N64)*1.15</f>
        <v>68.410740000000004</v>
      </c>
      <c r="F64" s="93">
        <v>800</v>
      </c>
      <c r="G64" s="93">
        <f>$E64*$F64</f>
        <v>54728.592000000004</v>
      </c>
      <c r="H64" s="63">
        <f>H58*0.05+H59*0.05</f>
        <v>22.747000000000003</v>
      </c>
      <c r="I64" s="60">
        <f>I58*0.05+I59*0.05</f>
        <v>23.790000000000003</v>
      </c>
      <c r="J64" s="42">
        <f>J56+J57+J58*0.05+J60*0.18+J61</f>
        <v>12.950600000000001</v>
      </c>
      <c r="K64" s="100"/>
      <c r="L64" s="68"/>
      <c r="M64" s="70"/>
      <c r="N64" s="51"/>
      <c r="O64" s="52"/>
      <c r="P64" s="52"/>
      <c r="Q64" s="52"/>
    </row>
    <row r="65" spans="1:17" ht="96.6" x14ac:dyDescent="0.3">
      <c r="A65" s="1">
        <v>1</v>
      </c>
      <c r="B65" s="2" t="s">
        <v>51</v>
      </c>
      <c r="C65" s="3" t="s">
        <v>596</v>
      </c>
      <c r="D65" s="95" t="s">
        <v>37</v>
      </c>
      <c r="E65" s="94">
        <f>SUM(H65:N65)*1.15</f>
        <v>68.410740000000004</v>
      </c>
      <c r="F65" s="93">
        <v>600</v>
      </c>
      <c r="G65" s="93">
        <f>$E65*$F65</f>
        <v>41046.444000000003</v>
      </c>
      <c r="H65" s="63">
        <f>H58*0.05+H59*0.05</f>
        <v>22.747000000000003</v>
      </c>
      <c r="I65" s="60">
        <f>I58*0.05+I59*0.05</f>
        <v>23.790000000000003</v>
      </c>
      <c r="J65" s="42">
        <f>J56+J57+J58*0.05+J60*0.18+J61</f>
        <v>12.950600000000001</v>
      </c>
      <c r="K65" s="100"/>
      <c r="L65" s="68"/>
      <c r="M65" s="70"/>
      <c r="N65" s="51"/>
      <c r="O65" s="52"/>
      <c r="P65" s="52"/>
      <c r="Q65" s="52"/>
    </row>
    <row r="66" spans="1:17" x14ac:dyDescent="0.3">
      <c r="A66" s="28" t="s">
        <v>15</v>
      </c>
      <c r="B66" s="29"/>
      <c r="C66" s="46" t="s">
        <v>64</v>
      </c>
      <c r="D66" s="31"/>
      <c r="E66" s="32"/>
      <c r="F66" s="33"/>
      <c r="G66" s="33"/>
      <c r="H66" s="63"/>
      <c r="I66" s="60"/>
      <c r="J66" s="42"/>
      <c r="K66" s="100"/>
      <c r="L66" s="68"/>
      <c r="M66" s="70"/>
      <c r="N66" s="51"/>
      <c r="O66" s="52"/>
      <c r="P66" s="52"/>
      <c r="Q66" s="52"/>
    </row>
    <row r="67" spans="1:17" ht="193.2" x14ac:dyDescent="0.3">
      <c r="A67" s="1">
        <v>2</v>
      </c>
      <c r="B67" s="2" t="s">
        <v>8</v>
      </c>
      <c r="C67" s="45" t="s">
        <v>442</v>
      </c>
      <c r="D67" s="95" t="s">
        <v>25</v>
      </c>
      <c r="E67" s="94">
        <f t="shared" ref="E67:E79" si="2">SUM(H67:N67)</f>
        <v>199.53</v>
      </c>
      <c r="F67" s="93">
        <v>150</v>
      </c>
      <c r="G67" s="93">
        <f t="shared" ref="G67:G78" si="3">$E67*$F67</f>
        <v>29929.5</v>
      </c>
      <c r="H67" s="63"/>
      <c r="I67" s="60"/>
      <c r="J67" s="42">
        <f>92.04+92.04+15.45</f>
        <v>199.53</v>
      </c>
      <c r="K67" s="100"/>
      <c r="L67" s="68"/>
      <c r="M67" s="70"/>
      <c r="N67" s="51"/>
      <c r="O67" s="52">
        <f>170/J67</f>
        <v>0.85200220518217806</v>
      </c>
      <c r="P67" s="52">
        <v>75.5</v>
      </c>
      <c r="Q67" s="52">
        <v>250</v>
      </c>
    </row>
    <row r="68" spans="1:17" ht="234.6" x14ac:dyDescent="0.3">
      <c r="A68" s="1">
        <v>2</v>
      </c>
      <c r="B68" s="2" t="s">
        <v>11</v>
      </c>
      <c r="C68" s="45" t="s">
        <v>609</v>
      </c>
      <c r="D68" s="95" t="s">
        <v>29</v>
      </c>
      <c r="E68" s="94">
        <f t="shared" si="2"/>
        <v>12</v>
      </c>
      <c r="F68" s="93">
        <v>115</v>
      </c>
      <c r="G68" s="93">
        <f t="shared" si="3"/>
        <v>1380</v>
      </c>
      <c r="H68" s="63">
        <v>6</v>
      </c>
      <c r="I68" s="60">
        <v>6</v>
      </c>
      <c r="J68" s="42"/>
      <c r="K68" s="100"/>
      <c r="L68" s="68"/>
      <c r="M68" s="70"/>
      <c r="N68" s="51"/>
      <c r="O68" s="52">
        <v>15</v>
      </c>
      <c r="P68" s="52">
        <v>80</v>
      </c>
      <c r="Q68" s="52">
        <v>120</v>
      </c>
    </row>
    <row r="69" spans="1:17" ht="220.8" x14ac:dyDescent="0.3">
      <c r="A69" s="1">
        <v>2</v>
      </c>
      <c r="B69" s="2" t="s">
        <v>13</v>
      </c>
      <c r="C69" s="3" t="s">
        <v>66</v>
      </c>
      <c r="D69" s="95" t="s">
        <v>25</v>
      </c>
      <c r="E69" s="94">
        <f t="shared" si="2"/>
        <v>163.04000000000002</v>
      </c>
      <c r="F69" s="93">
        <v>110</v>
      </c>
      <c r="G69" s="93">
        <f t="shared" si="3"/>
        <v>17934.400000000001</v>
      </c>
      <c r="H69" s="63">
        <f>3+12.44</f>
        <v>15.44</v>
      </c>
      <c r="I69" s="60"/>
      <c r="J69" s="42">
        <f>48.4+52.28+46.92</f>
        <v>147.60000000000002</v>
      </c>
      <c r="K69" s="100"/>
      <c r="L69" s="68"/>
      <c r="M69" s="70"/>
      <c r="N69" s="51"/>
      <c r="O69" s="52"/>
      <c r="P69" s="52">
        <v>70</v>
      </c>
      <c r="Q69" s="52">
        <v>180</v>
      </c>
    </row>
    <row r="70" spans="1:17" ht="234.6" x14ac:dyDescent="0.3">
      <c r="A70" s="1">
        <v>2</v>
      </c>
      <c r="B70" s="2" t="s">
        <v>26</v>
      </c>
      <c r="C70" s="3" t="s">
        <v>67</v>
      </c>
      <c r="D70" s="95" t="s">
        <v>25</v>
      </c>
      <c r="E70" s="94">
        <f t="shared" si="2"/>
        <v>52.5</v>
      </c>
      <c r="F70" s="93">
        <v>110</v>
      </c>
      <c r="G70" s="93">
        <f t="shared" si="3"/>
        <v>5775</v>
      </c>
      <c r="H70" s="63"/>
      <c r="I70" s="60"/>
      <c r="J70" s="42">
        <f>23.1+23.1+6.3</f>
        <v>52.5</v>
      </c>
      <c r="K70" s="100"/>
      <c r="L70" s="68"/>
      <c r="M70" s="70"/>
      <c r="N70" s="51"/>
      <c r="O70" s="52"/>
      <c r="P70" s="52">
        <v>70</v>
      </c>
      <c r="Q70" s="52">
        <v>220</v>
      </c>
    </row>
    <row r="71" spans="1:17" ht="276" x14ac:dyDescent="0.3">
      <c r="A71" s="1">
        <v>2</v>
      </c>
      <c r="B71" s="2" t="s">
        <v>28</v>
      </c>
      <c r="C71" s="3" t="s">
        <v>613</v>
      </c>
      <c r="D71" s="95" t="s">
        <v>29</v>
      </c>
      <c r="E71" s="94">
        <f t="shared" si="2"/>
        <v>90</v>
      </c>
      <c r="F71" s="44">
        <v>320</v>
      </c>
      <c r="G71" s="93">
        <f>$E71*$F71</f>
        <v>28800</v>
      </c>
      <c r="H71" s="63"/>
      <c r="I71" s="60"/>
      <c r="J71" s="42">
        <v>90</v>
      </c>
      <c r="K71" s="100"/>
      <c r="L71" s="68"/>
      <c r="M71" s="70"/>
      <c r="N71" s="51"/>
      <c r="O71" s="52"/>
      <c r="P71" s="52"/>
      <c r="Q71" s="52"/>
    </row>
    <row r="72" spans="1:17" ht="331.2" x14ac:dyDescent="0.3">
      <c r="A72" s="1">
        <v>2</v>
      </c>
      <c r="B72" s="2" t="s">
        <v>30</v>
      </c>
      <c r="C72" s="3" t="s">
        <v>610</v>
      </c>
      <c r="D72" s="95" t="s">
        <v>25</v>
      </c>
      <c r="E72" s="94">
        <f t="shared" si="2"/>
        <v>163.04000000000002</v>
      </c>
      <c r="F72" s="44">
        <v>1600</v>
      </c>
      <c r="G72" s="93">
        <f>$E72*$F72</f>
        <v>260864.00000000003</v>
      </c>
      <c r="H72" s="63">
        <f>3+12.44</f>
        <v>15.44</v>
      </c>
      <c r="I72" s="60"/>
      <c r="J72" s="42">
        <f>48.4+52.28+46.92</f>
        <v>147.60000000000002</v>
      </c>
      <c r="K72" s="100"/>
      <c r="L72" s="68"/>
      <c r="M72" s="70"/>
      <c r="N72" s="51"/>
      <c r="O72" s="52"/>
      <c r="P72" s="52"/>
      <c r="Q72" s="52"/>
    </row>
    <row r="73" spans="1:17" ht="220.8" x14ac:dyDescent="0.3">
      <c r="A73" s="1">
        <v>2</v>
      </c>
      <c r="B73" s="2" t="s">
        <v>31</v>
      </c>
      <c r="C73" s="3" t="s">
        <v>615</v>
      </c>
      <c r="D73" s="95" t="s">
        <v>18</v>
      </c>
      <c r="E73" s="94">
        <f t="shared" si="2"/>
        <v>170</v>
      </c>
      <c r="F73" s="44">
        <v>1200</v>
      </c>
      <c r="G73" s="93">
        <f t="shared" si="3"/>
        <v>204000</v>
      </c>
      <c r="H73" s="63"/>
      <c r="I73" s="60"/>
      <c r="J73" s="42">
        <f>74.8+74.8+20.4</f>
        <v>170</v>
      </c>
      <c r="K73" s="100"/>
      <c r="L73" s="68"/>
      <c r="M73" s="70"/>
      <c r="N73" s="51"/>
      <c r="O73" s="52"/>
      <c r="P73" s="52"/>
      <c r="Q73" s="52"/>
    </row>
    <row r="74" spans="1:17" ht="179.4" x14ac:dyDescent="0.3">
      <c r="A74" s="1">
        <v>2</v>
      </c>
      <c r="B74" s="2" t="s">
        <v>33</v>
      </c>
      <c r="C74" s="3" t="s">
        <v>598</v>
      </c>
      <c r="D74" s="95" t="s">
        <v>29</v>
      </c>
      <c r="E74" s="94">
        <f t="shared" si="2"/>
        <v>556</v>
      </c>
      <c r="F74" s="44">
        <v>15</v>
      </c>
      <c r="G74" s="93">
        <f t="shared" si="3"/>
        <v>8340</v>
      </c>
      <c r="H74" s="63"/>
      <c r="I74" s="60"/>
      <c r="J74" s="42">
        <v>556</v>
      </c>
      <c r="K74" s="100"/>
      <c r="L74" s="68"/>
      <c r="M74" s="70"/>
      <c r="N74" s="51"/>
      <c r="O74" s="52"/>
      <c r="P74" s="52"/>
      <c r="Q74" s="52"/>
    </row>
    <row r="75" spans="1:17" ht="124.2" x14ac:dyDescent="0.3">
      <c r="A75" s="1">
        <v>2</v>
      </c>
      <c r="B75" s="2" t="s">
        <v>35</v>
      </c>
      <c r="C75" s="3" t="s">
        <v>449</v>
      </c>
      <c r="D75" s="163" t="s">
        <v>18</v>
      </c>
      <c r="E75" s="164">
        <f t="shared" ref="E75" si="4">SUM(H75:N75)</f>
        <v>27.2</v>
      </c>
      <c r="F75" s="165">
        <v>1850</v>
      </c>
      <c r="G75" s="165">
        <f t="shared" si="3"/>
        <v>50320</v>
      </c>
      <c r="H75" s="63"/>
      <c r="I75" s="60"/>
      <c r="J75" s="42">
        <v>27.2</v>
      </c>
      <c r="K75" s="162"/>
      <c r="L75" s="68"/>
      <c r="M75" s="70"/>
      <c r="N75" s="122"/>
      <c r="O75" s="52"/>
      <c r="P75" s="52"/>
      <c r="Q75" s="52"/>
    </row>
    <row r="76" spans="1:17" ht="179.4" x14ac:dyDescent="0.3">
      <c r="A76" s="1">
        <v>2</v>
      </c>
      <c r="B76" s="2" t="s">
        <v>38</v>
      </c>
      <c r="C76" s="3" t="s">
        <v>450</v>
      </c>
      <c r="D76" s="95" t="s">
        <v>71</v>
      </c>
      <c r="E76" s="94">
        <f t="shared" si="2"/>
        <v>606.49</v>
      </c>
      <c r="F76" s="93">
        <v>12</v>
      </c>
      <c r="G76" s="93">
        <f t="shared" si="3"/>
        <v>7277.88</v>
      </c>
      <c r="H76" s="63"/>
      <c r="I76" s="60"/>
      <c r="J76" s="42">
        <v>606.49</v>
      </c>
      <c r="K76" s="100"/>
      <c r="L76" s="68"/>
      <c r="M76" s="70"/>
      <c r="N76" s="51"/>
      <c r="O76" s="52">
        <f>5*1.3</f>
        <v>6.5</v>
      </c>
      <c r="P76" s="52">
        <f>14*1.3</f>
        <v>18.2</v>
      </c>
      <c r="Q76" s="52">
        <v>12</v>
      </c>
    </row>
    <row r="77" spans="1:17" ht="116.25" customHeight="1" x14ac:dyDescent="0.3">
      <c r="A77" s="1">
        <v>2</v>
      </c>
      <c r="B77" s="2" t="s">
        <v>40</v>
      </c>
      <c r="C77" s="3" t="s">
        <v>73</v>
      </c>
      <c r="D77" s="95" t="s">
        <v>25</v>
      </c>
      <c r="E77" s="94">
        <f t="shared" si="2"/>
        <v>29.119999999999997</v>
      </c>
      <c r="F77" s="93">
        <v>250</v>
      </c>
      <c r="G77" s="93">
        <f t="shared" si="3"/>
        <v>7279.9999999999991</v>
      </c>
      <c r="H77" s="63"/>
      <c r="I77" s="60"/>
      <c r="J77" s="42">
        <f>6.72+11.2+11.2</f>
        <v>29.119999999999997</v>
      </c>
      <c r="K77" s="100"/>
      <c r="L77" s="68"/>
      <c r="M77" s="70"/>
      <c r="N77" s="51"/>
      <c r="O77" s="52">
        <f>20*1.3</f>
        <v>26</v>
      </c>
      <c r="P77" s="52">
        <f>130*1.3</f>
        <v>169</v>
      </c>
      <c r="Q77" s="52">
        <v>250</v>
      </c>
    </row>
    <row r="78" spans="1:17" ht="135" customHeight="1" x14ac:dyDescent="0.3">
      <c r="A78" s="1">
        <v>2</v>
      </c>
      <c r="B78" s="2" t="s">
        <v>42</v>
      </c>
      <c r="C78" s="3" t="s">
        <v>75</v>
      </c>
      <c r="D78" s="95" t="s">
        <v>37</v>
      </c>
      <c r="E78" s="94">
        <f t="shared" si="2"/>
        <v>2.9120000000000004</v>
      </c>
      <c r="F78" s="93">
        <v>1450</v>
      </c>
      <c r="G78" s="93">
        <f t="shared" si="3"/>
        <v>4222.4000000000005</v>
      </c>
      <c r="H78" s="63"/>
      <c r="I78" s="60"/>
      <c r="J78" s="42">
        <f>0.672+1.12+1.12</f>
        <v>2.9120000000000004</v>
      </c>
      <c r="K78" s="100"/>
      <c r="L78" s="68"/>
      <c r="M78" s="70"/>
      <c r="N78" s="51"/>
      <c r="O78" s="52">
        <f>570*1.3</f>
        <v>741</v>
      </c>
      <c r="P78" s="52">
        <f>200*1.3</f>
        <v>260</v>
      </c>
      <c r="Q78" s="52">
        <v>1800</v>
      </c>
    </row>
    <row r="79" spans="1:17" ht="124.2" x14ac:dyDescent="0.3">
      <c r="A79" s="1">
        <v>2</v>
      </c>
      <c r="B79" s="2" t="s">
        <v>44</v>
      </c>
      <c r="C79" s="45" t="s">
        <v>82</v>
      </c>
      <c r="D79" s="95" t="s">
        <v>10</v>
      </c>
      <c r="E79" s="94">
        <f t="shared" si="2"/>
        <v>1</v>
      </c>
      <c r="F79" s="44">
        <v>82800</v>
      </c>
      <c r="G79" s="93">
        <f t="shared" ref="G79" si="5">$E79*$F79</f>
        <v>82800</v>
      </c>
      <c r="H79" s="63">
        <v>1</v>
      </c>
      <c r="I79" s="60"/>
      <c r="J79" s="42"/>
      <c r="K79" s="100"/>
      <c r="L79" s="68"/>
      <c r="M79" s="70"/>
      <c r="N79" s="51"/>
      <c r="O79" s="52">
        <f>15.55*3.55*1500</f>
        <v>82803.75</v>
      </c>
      <c r="P79" s="52"/>
      <c r="Q79" s="52">
        <v>18000</v>
      </c>
    </row>
    <row r="80" spans="1:17" x14ac:dyDescent="0.3">
      <c r="A80" s="28" t="s">
        <v>63</v>
      </c>
      <c r="B80" s="29"/>
      <c r="C80" s="46" t="s">
        <v>84</v>
      </c>
      <c r="D80" s="31"/>
      <c r="E80" s="32"/>
      <c r="F80" s="33"/>
      <c r="G80" s="33"/>
      <c r="H80" s="63"/>
      <c r="I80" s="60"/>
      <c r="J80" s="42"/>
      <c r="K80" s="100"/>
      <c r="L80" s="68"/>
      <c r="M80" s="70"/>
      <c r="N80" s="51"/>
      <c r="O80" s="52"/>
      <c r="P80" s="52"/>
      <c r="Q80" s="52"/>
    </row>
    <row r="81" spans="1:34" ht="151.80000000000001" x14ac:dyDescent="0.3">
      <c r="A81" s="1">
        <v>3</v>
      </c>
      <c r="B81" s="2" t="s">
        <v>8</v>
      </c>
      <c r="C81" s="3" t="s">
        <v>476</v>
      </c>
      <c r="D81" s="95" t="s">
        <v>25</v>
      </c>
      <c r="E81" s="94">
        <f>SUM(H81:N81)</f>
        <v>15</v>
      </c>
      <c r="F81" s="93">
        <v>216</v>
      </c>
      <c r="G81" s="93">
        <f>$E81*$F81</f>
        <v>3240</v>
      </c>
      <c r="H81" s="63"/>
      <c r="I81" s="60"/>
      <c r="J81" s="42">
        <f>5.1+5.1+4.8</f>
        <v>15</v>
      </c>
      <c r="K81" s="100"/>
      <c r="L81" s="68"/>
      <c r="M81" s="70"/>
      <c r="N81" s="51"/>
      <c r="O81" s="52">
        <f>100*1.3+200*1.3+2*1.3+50*1.3</f>
        <v>457.6</v>
      </c>
      <c r="P81" s="52"/>
      <c r="Q81" s="52">
        <v>90</v>
      </c>
    </row>
    <row r="82" spans="1:34" x14ac:dyDescent="0.3">
      <c r="A82" s="28" t="s">
        <v>83</v>
      </c>
      <c r="B82" s="29"/>
      <c r="C82" s="46" t="s">
        <v>88</v>
      </c>
      <c r="D82" s="31"/>
      <c r="E82" s="32"/>
      <c r="F82" s="33"/>
      <c r="G82" s="33"/>
      <c r="H82" s="63"/>
      <c r="I82" s="60"/>
      <c r="J82" s="42"/>
      <c r="K82" s="100"/>
      <c r="L82" s="68"/>
      <c r="M82" s="70"/>
      <c r="N82" s="51"/>
      <c r="O82" s="52"/>
      <c r="P82" s="52"/>
      <c r="Q82" s="52"/>
    </row>
    <row r="83" spans="1:34" ht="207" x14ac:dyDescent="0.3">
      <c r="A83" s="1">
        <v>4</v>
      </c>
      <c r="B83" s="2" t="s">
        <v>8</v>
      </c>
      <c r="C83" s="3" t="s">
        <v>477</v>
      </c>
      <c r="D83" s="95" t="s">
        <v>25</v>
      </c>
      <c r="E83" s="94">
        <f t="shared" ref="E83:E86" si="6">SUM(H83:N83)</f>
        <v>71.05</v>
      </c>
      <c r="F83" s="93">
        <v>250</v>
      </c>
      <c r="G83" s="93">
        <f>$E83*$F83</f>
        <v>17762.5</v>
      </c>
      <c r="H83" s="63">
        <v>16.399999999999999</v>
      </c>
      <c r="I83" s="60">
        <v>54.65</v>
      </c>
      <c r="J83" s="42"/>
      <c r="K83" s="100"/>
      <c r="L83" s="68"/>
      <c r="M83" s="70"/>
      <c r="N83" s="51"/>
      <c r="O83" s="52"/>
      <c r="P83" s="52">
        <f>120*1.3</f>
        <v>156</v>
      </c>
      <c r="Q83" s="52">
        <v>210</v>
      </c>
    </row>
    <row r="84" spans="1:34" ht="193.2" x14ac:dyDescent="0.3">
      <c r="A84" s="1">
        <v>4</v>
      </c>
      <c r="B84" s="2" t="s">
        <v>11</v>
      </c>
      <c r="C84" s="3" t="s">
        <v>603</v>
      </c>
      <c r="D84" s="95" t="s">
        <v>25</v>
      </c>
      <c r="E84" s="94">
        <f t="shared" si="6"/>
        <v>947.90999999999985</v>
      </c>
      <c r="F84" s="93">
        <v>200</v>
      </c>
      <c r="G84" s="93">
        <f>$E84*$F84</f>
        <v>189581.99999999997</v>
      </c>
      <c r="H84" s="63">
        <f>329.25+12.44</f>
        <v>341.69</v>
      </c>
      <c r="I84" s="60">
        <v>459.65</v>
      </c>
      <c r="J84" s="42">
        <f>46.18+50.34+50.05</f>
        <v>146.57</v>
      </c>
      <c r="K84" s="100"/>
      <c r="L84" s="68"/>
      <c r="M84" s="70"/>
      <c r="N84" s="51"/>
      <c r="O84" s="52"/>
      <c r="P84" s="52">
        <f>110*1.3+25</f>
        <v>168</v>
      </c>
      <c r="Q84" s="52">
        <v>200</v>
      </c>
    </row>
    <row r="85" spans="1:34" ht="165.6" x14ac:dyDescent="0.3">
      <c r="A85" s="1">
        <v>4</v>
      </c>
      <c r="B85" s="2" t="s">
        <v>13</v>
      </c>
      <c r="C85" s="3" t="s">
        <v>90</v>
      </c>
      <c r="D85" s="95" t="s">
        <v>25</v>
      </c>
      <c r="E85" s="94">
        <f t="shared" si="6"/>
        <v>199.52</v>
      </c>
      <c r="F85" s="93">
        <f>P85</f>
        <v>429</v>
      </c>
      <c r="G85" s="93">
        <f>$E85*$F85</f>
        <v>85594.08</v>
      </c>
      <c r="H85" s="63"/>
      <c r="I85" s="60"/>
      <c r="J85" s="42">
        <f>92.04+92.04+15.44</f>
        <v>199.52</v>
      </c>
      <c r="K85" s="100"/>
      <c r="L85" s="68"/>
      <c r="M85" s="70"/>
      <c r="N85" s="51"/>
      <c r="O85" s="52"/>
      <c r="P85" s="52">
        <f>330*1.3</f>
        <v>429</v>
      </c>
      <c r="Q85" s="52">
        <v>380</v>
      </c>
    </row>
    <row r="86" spans="1:34" ht="151.80000000000001" x14ac:dyDescent="0.3">
      <c r="A86" s="1">
        <v>4</v>
      </c>
      <c r="B86" s="2" t="s">
        <v>26</v>
      </c>
      <c r="C86" s="3" t="s">
        <v>452</v>
      </c>
      <c r="D86" s="95" t="s">
        <v>25</v>
      </c>
      <c r="E86" s="94">
        <f t="shared" si="6"/>
        <v>8.6199999999999992</v>
      </c>
      <c r="F86" s="93">
        <f>O86</f>
        <v>221</v>
      </c>
      <c r="G86" s="93">
        <f>$E86*$F86</f>
        <v>1905.0199999999998</v>
      </c>
      <c r="H86" s="63"/>
      <c r="I86" s="60"/>
      <c r="J86" s="42">
        <f>3.04+2.76+2.82</f>
        <v>8.6199999999999992</v>
      </c>
      <c r="K86" s="100"/>
      <c r="L86" s="68"/>
      <c r="M86" s="70"/>
      <c r="N86" s="51"/>
      <c r="O86" s="52">
        <f>170*1.3</f>
        <v>221</v>
      </c>
      <c r="P86" s="52"/>
      <c r="Q86" s="52">
        <v>200</v>
      </c>
    </row>
    <row r="87" spans="1:34" x14ac:dyDescent="0.3">
      <c r="A87" s="28" t="s">
        <v>87</v>
      </c>
      <c r="B87" s="29"/>
      <c r="C87" s="46" t="s">
        <v>98</v>
      </c>
      <c r="D87" s="31"/>
      <c r="E87" s="32"/>
      <c r="F87" s="33"/>
      <c r="G87" s="33"/>
      <c r="H87" s="63"/>
      <c r="I87" s="60"/>
      <c r="J87" s="42"/>
      <c r="K87" s="100"/>
      <c r="L87" s="68"/>
      <c r="M87" s="70"/>
      <c r="N87" s="51"/>
      <c r="O87" s="52"/>
      <c r="P87" s="52"/>
      <c r="Q87" s="52"/>
      <c r="U87" s="119"/>
      <c r="V87" s="119"/>
      <c r="W87" s="119"/>
      <c r="X87" s="119"/>
      <c r="Y87" s="119"/>
      <c r="Z87" s="119"/>
      <c r="AA87" s="119"/>
      <c r="AB87" s="119"/>
      <c r="AC87" s="119"/>
      <c r="AD87" s="119"/>
      <c r="AE87" s="119"/>
      <c r="AF87" s="119"/>
      <c r="AG87" s="119"/>
      <c r="AH87" s="119"/>
    </row>
    <row r="88" spans="1:34" ht="207" x14ac:dyDescent="0.3">
      <c r="A88" s="1">
        <v>5</v>
      </c>
      <c r="B88" s="2" t="s">
        <v>8</v>
      </c>
      <c r="C88" s="45" t="s">
        <v>453</v>
      </c>
      <c r="D88" s="95" t="s">
        <v>25</v>
      </c>
      <c r="E88" s="94">
        <f>SUM(H88:N88)</f>
        <v>21.119999999999997</v>
      </c>
      <c r="F88" s="93">
        <f>O88</f>
        <v>558</v>
      </c>
      <c r="G88" s="93">
        <f>$E88*$F88</f>
        <v>11784.96</v>
      </c>
      <c r="H88" s="63"/>
      <c r="I88" s="60"/>
      <c r="J88" s="42">
        <f>5.76+7.68+7.68</f>
        <v>21.119999999999997</v>
      </c>
      <c r="K88" s="100"/>
      <c r="L88" s="68"/>
      <c r="M88" s="70"/>
      <c r="N88" s="51"/>
      <c r="O88" s="52">
        <f>258+50+250</f>
        <v>558</v>
      </c>
      <c r="P88" s="52"/>
      <c r="Q88" s="52">
        <v>360</v>
      </c>
      <c r="U88" s="119"/>
      <c r="V88" s="119"/>
      <c r="W88" s="119"/>
      <c r="X88" s="119"/>
      <c r="Y88" s="119"/>
      <c r="Z88" s="119"/>
      <c r="AA88" s="119"/>
      <c r="AB88" s="119"/>
      <c r="AC88" s="119"/>
      <c r="AD88" s="119"/>
      <c r="AE88" s="119"/>
      <c r="AF88" s="119"/>
      <c r="AG88" s="119"/>
      <c r="AH88" s="119"/>
    </row>
    <row r="89" spans="1:34" ht="138" x14ac:dyDescent="0.3">
      <c r="A89" s="1">
        <v>5</v>
      </c>
      <c r="B89" s="2" t="s">
        <v>11</v>
      </c>
      <c r="C89" s="45" t="s">
        <v>604</v>
      </c>
      <c r="D89" s="95" t="s">
        <v>25</v>
      </c>
      <c r="E89" s="94">
        <f>SUM(H89:N89)</f>
        <v>150.52000000000001</v>
      </c>
      <c r="F89" s="93">
        <v>210</v>
      </c>
      <c r="G89" s="93">
        <f t="shared" ref="G89:G90" si="7">$E89*$F89</f>
        <v>31609.200000000001</v>
      </c>
      <c r="H89" s="63">
        <v>113.25</v>
      </c>
      <c r="I89" s="60">
        <v>16.149999999999999</v>
      </c>
      <c r="J89" s="42">
        <v>21.12</v>
      </c>
      <c r="K89" s="100"/>
      <c r="L89" s="68"/>
      <c r="M89" s="70"/>
      <c r="N89" s="51"/>
      <c r="O89" s="52">
        <f>168+90</f>
        <v>258</v>
      </c>
      <c r="P89" s="52"/>
      <c r="Q89" s="52">
        <v>170</v>
      </c>
    </row>
    <row r="90" spans="1:34" ht="135" customHeight="1" x14ac:dyDescent="0.3">
      <c r="A90" s="1">
        <v>5</v>
      </c>
      <c r="B90" s="2" t="s">
        <v>13</v>
      </c>
      <c r="C90" s="45" t="s">
        <v>101</v>
      </c>
      <c r="D90" s="95" t="s">
        <v>25</v>
      </c>
      <c r="E90" s="94">
        <f>SUM(H90:N90)</f>
        <v>2858.4</v>
      </c>
      <c r="F90" s="44">
        <v>55</v>
      </c>
      <c r="G90" s="93">
        <f t="shared" si="7"/>
        <v>157212</v>
      </c>
      <c r="H90" s="63">
        <v>1815</v>
      </c>
      <c r="I90" s="60">
        <v>1043.4000000000001</v>
      </c>
      <c r="J90" s="42"/>
      <c r="K90" s="100"/>
      <c r="L90" s="68"/>
      <c r="M90" s="70"/>
      <c r="N90" s="51"/>
      <c r="O90" s="52">
        <f>168+90</f>
        <v>258</v>
      </c>
      <c r="P90" s="52"/>
      <c r="Q90" s="52">
        <v>170</v>
      </c>
    </row>
    <row r="91" spans="1:34" x14ac:dyDescent="0.3">
      <c r="A91" s="28" t="s">
        <v>94</v>
      </c>
      <c r="B91" s="29"/>
      <c r="C91" s="46" t="s">
        <v>103</v>
      </c>
      <c r="D91" s="31"/>
      <c r="E91" s="32"/>
      <c r="F91" s="33"/>
      <c r="G91" s="33"/>
      <c r="H91" s="63"/>
      <c r="I91" s="60"/>
      <c r="J91" s="42"/>
      <c r="K91" s="100"/>
      <c r="L91" s="68"/>
      <c r="M91" s="70"/>
      <c r="N91" s="51"/>
      <c r="O91" s="52"/>
      <c r="P91" s="52"/>
      <c r="Q91" s="52"/>
    </row>
    <row r="92" spans="1:34" ht="96.6" x14ac:dyDescent="0.3">
      <c r="A92" s="1">
        <v>6</v>
      </c>
      <c r="B92" s="2" t="s">
        <v>8</v>
      </c>
      <c r="C92" s="45" t="s">
        <v>454</v>
      </c>
      <c r="D92" s="48" t="s">
        <v>25</v>
      </c>
      <c r="E92" s="49">
        <f>SUM(H92:N92)</f>
        <v>15.82</v>
      </c>
      <c r="F92" s="50">
        <v>430</v>
      </c>
      <c r="G92" s="50">
        <f>$E92*$F92</f>
        <v>6802.6</v>
      </c>
      <c r="H92" s="63"/>
      <c r="I92" s="60"/>
      <c r="J92" s="42">
        <f>5.51+5.51+4.8</f>
        <v>15.82</v>
      </c>
      <c r="K92" s="100"/>
      <c r="L92" s="68"/>
      <c r="M92" s="70"/>
      <c r="N92" s="51"/>
      <c r="O92" s="53"/>
      <c r="P92" s="53"/>
      <c r="Q92" s="53"/>
    </row>
    <row r="93" spans="1:34" x14ac:dyDescent="0.3">
      <c r="A93" s="28" t="s">
        <v>97</v>
      </c>
      <c r="B93" s="29"/>
      <c r="C93" s="46" t="s">
        <v>106</v>
      </c>
      <c r="D93" s="31"/>
      <c r="E93" s="32"/>
      <c r="F93" s="33"/>
      <c r="G93" s="33"/>
      <c r="H93" s="63"/>
      <c r="I93" s="60"/>
      <c r="J93" s="42"/>
      <c r="K93" s="100"/>
      <c r="L93" s="68"/>
      <c r="M93" s="70"/>
      <c r="N93" s="51"/>
      <c r="O93" s="52"/>
      <c r="P93" s="52"/>
      <c r="Q93" s="52"/>
    </row>
    <row r="94" spans="1:34" ht="193.2" x14ac:dyDescent="0.3">
      <c r="A94" s="1">
        <v>7</v>
      </c>
      <c r="B94" s="2" t="s">
        <v>8</v>
      </c>
      <c r="C94" s="3" t="s">
        <v>455</v>
      </c>
      <c r="D94" s="95" t="s">
        <v>25</v>
      </c>
      <c r="E94" s="94">
        <f>SUM(H94:N94)</f>
        <v>947.90999999999985</v>
      </c>
      <c r="F94" s="93">
        <v>84</v>
      </c>
      <c r="G94" s="93">
        <f>$E94*$F94</f>
        <v>79624.439999999988</v>
      </c>
      <c r="H94" s="63">
        <f>329.25+12.44</f>
        <v>341.69</v>
      </c>
      <c r="I94" s="60">
        <v>459.65</v>
      </c>
      <c r="J94" s="42">
        <f>46.18+50.34+50.05</f>
        <v>146.57</v>
      </c>
      <c r="K94" s="100"/>
      <c r="L94" s="68"/>
      <c r="M94" s="70"/>
      <c r="N94" s="51"/>
      <c r="O94" s="52">
        <v>80</v>
      </c>
      <c r="P94" s="52"/>
      <c r="Q94" s="52">
        <v>60</v>
      </c>
    </row>
    <row r="95" spans="1:34" x14ac:dyDescent="0.3">
      <c r="A95" s="34"/>
      <c r="B95" s="74"/>
      <c r="C95" s="75"/>
      <c r="D95" s="104"/>
      <c r="E95" s="105"/>
      <c r="F95" s="93" t="s">
        <v>19</v>
      </c>
      <c r="G95" s="93">
        <f>SUM(G48:G94)</f>
        <v>2776543.6159999995</v>
      </c>
      <c r="H95" s="63"/>
      <c r="I95" s="60"/>
      <c r="J95" s="42"/>
      <c r="K95" s="100"/>
      <c r="L95" s="68"/>
      <c r="M95" s="70"/>
      <c r="N95" s="51"/>
      <c r="O95" s="52"/>
      <c r="P95" s="52"/>
      <c r="Q95" s="52"/>
    </row>
    <row r="96" spans="1:34" x14ac:dyDescent="0.3">
      <c r="A96" s="76"/>
      <c r="B96" s="35"/>
      <c r="C96" s="77"/>
      <c r="D96" s="78"/>
      <c r="E96" s="79"/>
      <c r="F96" s="93" t="s">
        <v>20</v>
      </c>
      <c r="G96" s="93">
        <f>G95*0.25</f>
        <v>694135.90399999986</v>
      </c>
      <c r="H96" s="63"/>
      <c r="I96" s="60"/>
      <c r="J96" s="42"/>
      <c r="K96" s="100"/>
      <c r="L96" s="68"/>
      <c r="M96" s="70"/>
      <c r="N96" s="51"/>
      <c r="O96" s="52"/>
      <c r="P96" s="52"/>
      <c r="Q96" s="52"/>
    </row>
    <row r="97" spans="1:17" x14ac:dyDescent="0.3">
      <c r="A97" s="76"/>
      <c r="B97" s="35"/>
      <c r="C97" s="77"/>
      <c r="D97" s="78"/>
      <c r="E97" s="79"/>
      <c r="F97" s="13" t="s">
        <v>21</v>
      </c>
      <c r="G97" s="93">
        <f>SUM(G95:G96)</f>
        <v>3470679.5199999996</v>
      </c>
      <c r="H97" s="63"/>
      <c r="I97" s="60"/>
      <c r="J97" s="42"/>
      <c r="K97" s="100"/>
      <c r="L97" s="68"/>
      <c r="M97" s="70"/>
      <c r="N97" s="51"/>
      <c r="O97" s="52"/>
      <c r="P97" s="52"/>
      <c r="Q97" s="52"/>
    </row>
  </sheetData>
  <mergeCells count="2">
    <mergeCell ref="A12:G12"/>
    <mergeCell ref="A16:G16"/>
  </mergeCells>
  <phoneticPr fontId="8" type="noConversion"/>
  <pageMargins left="0.98425196850393704" right="0.39370078740157483" top="1.1811023622047245" bottom="0.78740157480314965" header="0.39370078740157483" footer="0.39370078740157483"/>
  <pageSetup paperSize="9" scale="96" orientation="portrait" useFirstPageNumber="1" r:id="rId1"/>
  <headerFooter>
    <oddHeader>&amp;L&amp;G&amp;R&amp;G</oddHeader>
    <oddFooter xml:space="preserve">&amp;L&amp;"-,Bold"&amp;9TROŠKOVNIK &amp;A&amp;"-,Regular"     &amp;KFF0000 &amp;K000000GRAĐEVINSKI PROJEKT - PROJEKT POPRAVKA GRAĐEVINSKE KONSTRUKCIJE     GPP-13/21&amp;R&amp;"-,Bold"&amp;9&amp;P/&amp;N   </oddFooter>
  </headerFooter>
  <rowBreaks count="2" manualBreakCount="2">
    <brk id="86" max="16383" man="1"/>
    <brk id="9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3705B-E9A1-4D9E-8EC2-0E906E2B92DA}">
  <dimension ref="A12:AD95"/>
  <sheetViews>
    <sheetView view="pageBreakPreview" zoomScaleNormal="100" zoomScaleSheetLayoutView="100" zoomScalePageLayoutView="60" workbookViewId="0">
      <selection activeCell="C84" sqref="C84"/>
    </sheetView>
  </sheetViews>
  <sheetFormatPr defaultRowHeight="14.4" x14ac:dyDescent="0.3"/>
  <cols>
    <col min="1" max="1" width="3.6640625" style="8" customWidth="1"/>
    <col min="2" max="2" width="3.6640625" style="9" customWidth="1"/>
    <col min="3" max="3" width="40.6640625" style="10" customWidth="1"/>
    <col min="4" max="4" width="7.6640625" style="11" customWidth="1"/>
    <col min="5" max="5" width="8.6640625" style="12" customWidth="1"/>
    <col min="6" max="6" width="12.6640625" style="14" customWidth="1"/>
    <col min="7" max="7" width="13.6640625" style="14" customWidth="1"/>
    <col min="8" max="8" width="8.88671875" style="61" hidden="1" customWidth="1"/>
    <col min="9" max="9" width="11" style="58" hidden="1" customWidth="1"/>
    <col min="10" max="10" width="8.88671875" style="57" hidden="1" customWidth="1"/>
    <col min="11" max="11" width="8.88671875" style="96" hidden="1" customWidth="1"/>
    <col min="12" max="12" width="8.88671875" style="72" hidden="1" customWidth="1"/>
    <col min="13" max="13" width="8.88671875" style="73" hidden="1" customWidth="1"/>
    <col min="14" max="14" width="8.88671875" style="55" hidden="1" customWidth="1"/>
    <col min="15" max="15" width="12" hidden="1" customWidth="1"/>
    <col min="16" max="16" width="5" hidden="1" customWidth="1"/>
    <col min="17" max="17" width="11.33203125" hidden="1" customWidth="1"/>
    <col min="26" max="26" width="11.109375" bestFit="1" customWidth="1"/>
  </cols>
  <sheetData>
    <row r="12" spans="1:30" s="61" customFormat="1" ht="71.25" customHeight="1" x14ac:dyDescent="0.3">
      <c r="A12" s="287" t="s">
        <v>323</v>
      </c>
      <c r="B12" s="288"/>
      <c r="C12" s="288"/>
      <c r="D12" s="288"/>
      <c r="E12" s="288"/>
      <c r="F12" s="288"/>
      <c r="G12" s="288"/>
      <c r="I12" s="58"/>
      <c r="J12" s="57"/>
      <c r="K12" s="96"/>
      <c r="L12" s="72"/>
      <c r="M12" s="73"/>
      <c r="N12" s="55"/>
      <c r="O12"/>
      <c r="P12"/>
      <c r="Q12"/>
      <c r="R12"/>
      <c r="S12"/>
      <c r="T12"/>
      <c r="U12"/>
      <c r="V12"/>
      <c r="W12"/>
      <c r="X12"/>
      <c r="Y12"/>
      <c r="Z12"/>
      <c r="AA12"/>
      <c r="AB12"/>
      <c r="AC12"/>
      <c r="AD12"/>
    </row>
    <row r="16" spans="1:30" ht="50.25" customHeight="1" x14ac:dyDescent="0.3">
      <c r="A16" s="292" t="s">
        <v>513</v>
      </c>
      <c r="B16" s="289"/>
      <c r="C16" s="289"/>
      <c r="D16" s="289"/>
      <c r="E16" s="289"/>
      <c r="F16" s="289"/>
      <c r="G16" s="289"/>
      <c r="K16" s="71"/>
    </row>
    <row r="30" spans="1:30" s="72" customFormat="1" x14ac:dyDescent="0.3">
      <c r="A30" s="8"/>
      <c r="B30" s="9"/>
      <c r="C30" s="10"/>
      <c r="D30" s="11"/>
      <c r="E30" s="12"/>
      <c r="F30" s="14"/>
      <c r="G30" s="14"/>
      <c r="H30" s="61"/>
      <c r="I30" s="58"/>
      <c r="J30" s="57"/>
      <c r="K30" s="71"/>
      <c r="M30" s="73"/>
      <c r="N30" s="55"/>
      <c r="O30"/>
      <c r="P30"/>
      <c r="Q30"/>
      <c r="R30"/>
      <c r="S30"/>
      <c r="T30"/>
      <c r="U30"/>
      <c r="V30"/>
      <c r="W30"/>
      <c r="X30"/>
      <c r="Y30"/>
      <c r="Z30"/>
      <c r="AA30"/>
      <c r="AB30"/>
      <c r="AC30"/>
      <c r="AD30"/>
    </row>
    <row r="31" spans="1:30" s="72" customFormat="1" x14ac:dyDescent="0.3">
      <c r="A31" s="8"/>
      <c r="B31" s="9"/>
      <c r="C31" s="10"/>
      <c r="D31" s="11"/>
      <c r="E31" s="12"/>
      <c r="F31" s="14"/>
      <c r="G31" s="14"/>
      <c r="H31" s="61"/>
      <c r="I31" s="58"/>
      <c r="J31" s="57"/>
      <c r="K31" s="71"/>
      <c r="M31" s="73"/>
      <c r="N31" s="55"/>
      <c r="O31"/>
      <c r="P31"/>
      <c r="Q31"/>
      <c r="R31"/>
      <c r="S31"/>
      <c r="T31"/>
      <c r="U31"/>
      <c r="V31"/>
      <c r="W31"/>
      <c r="X31"/>
      <c r="Y31"/>
      <c r="Z31"/>
      <c r="AA31"/>
      <c r="AB31"/>
      <c r="AC31"/>
      <c r="AD31"/>
    </row>
    <row r="32" spans="1:30" s="72" customFormat="1" x14ac:dyDescent="0.3">
      <c r="A32" s="8"/>
      <c r="B32" s="9"/>
      <c r="C32" s="10"/>
      <c r="D32" s="11"/>
      <c r="E32" s="12"/>
      <c r="F32" s="14"/>
      <c r="G32" s="14"/>
      <c r="H32" s="61"/>
      <c r="I32" s="58"/>
      <c r="J32" s="57"/>
      <c r="K32" s="71"/>
      <c r="M32" s="73"/>
      <c r="N32" s="55"/>
      <c r="O32"/>
      <c r="P32"/>
      <c r="Q32"/>
      <c r="R32"/>
      <c r="S32"/>
      <c r="T32"/>
      <c r="U32"/>
      <c r="V32"/>
      <c r="W32"/>
      <c r="X32"/>
      <c r="Y32"/>
      <c r="Z32"/>
      <c r="AA32"/>
      <c r="AB32"/>
      <c r="AC32"/>
      <c r="AD32"/>
    </row>
    <row r="33" spans="1:30" s="72" customFormat="1" x14ac:dyDescent="0.3">
      <c r="A33" s="8"/>
      <c r="B33" s="9"/>
      <c r="C33" s="10"/>
      <c r="D33" s="11"/>
      <c r="E33" s="12"/>
      <c r="F33" s="14"/>
      <c r="G33" s="14"/>
      <c r="H33" s="61"/>
      <c r="I33" s="58"/>
      <c r="J33" s="57"/>
      <c r="K33" s="71"/>
      <c r="M33" s="73"/>
      <c r="N33" s="55"/>
      <c r="O33"/>
      <c r="P33"/>
      <c r="Q33"/>
      <c r="R33"/>
      <c r="S33"/>
      <c r="T33"/>
      <c r="U33"/>
      <c r="V33"/>
      <c r="W33"/>
      <c r="X33"/>
      <c r="Y33"/>
      <c r="Z33"/>
      <c r="AA33"/>
      <c r="AB33"/>
      <c r="AC33"/>
      <c r="AD33"/>
    </row>
    <row r="45" spans="1:30" ht="27.6" x14ac:dyDescent="0.3">
      <c r="A45" s="15" t="s">
        <v>0</v>
      </c>
      <c r="B45" s="16"/>
      <c r="C45" s="17" t="s">
        <v>1</v>
      </c>
      <c r="D45" s="18" t="s">
        <v>2</v>
      </c>
      <c r="E45" s="19" t="s">
        <v>3</v>
      </c>
      <c r="F45" s="20" t="s">
        <v>4</v>
      </c>
      <c r="G45" s="21" t="s">
        <v>5</v>
      </c>
      <c r="H45" s="62"/>
      <c r="I45" s="59"/>
      <c r="J45" s="54"/>
      <c r="K45" s="97"/>
      <c r="L45" s="67"/>
      <c r="M45" s="69"/>
      <c r="N45" s="56" t="s">
        <v>113</v>
      </c>
      <c r="O45" s="52" t="s">
        <v>107</v>
      </c>
      <c r="P45" s="52" t="s">
        <v>108</v>
      </c>
      <c r="Q45" s="52" t="s">
        <v>109</v>
      </c>
    </row>
    <row r="46" spans="1:30" x14ac:dyDescent="0.3">
      <c r="A46" s="28" t="s">
        <v>6</v>
      </c>
      <c r="B46" s="29"/>
      <c r="C46" s="30" t="s">
        <v>7</v>
      </c>
      <c r="D46" s="31"/>
      <c r="E46" s="32"/>
      <c r="F46" s="33"/>
      <c r="G46" s="33"/>
    </row>
    <row r="47" spans="1:30" ht="331.2" x14ac:dyDescent="0.3">
      <c r="A47" s="1">
        <v>1</v>
      </c>
      <c r="B47" s="2" t="s">
        <v>8</v>
      </c>
      <c r="C47" s="3" t="s">
        <v>22</v>
      </c>
      <c r="D47" s="190" t="s">
        <v>10</v>
      </c>
      <c r="E47" s="191">
        <v>1</v>
      </c>
      <c r="F47" s="192">
        <f>SUM(H47:N47)</f>
        <v>3000</v>
      </c>
      <c r="G47" s="192">
        <f t="shared" ref="G47:G55" si="0">$E47*$F47</f>
        <v>3000</v>
      </c>
      <c r="H47" s="63"/>
      <c r="I47" s="60"/>
      <c r="J47" s="42"/>
      <c r="K47" s="189"/>
      <c r="L47" s="68"/>
      <c r="M47" s="70"/>
      <c r="N47" s="51">
        <v>3000</v>
      </c>
      <c r="O47" s="52"/>
      <c r="P47" s="52"/>
      <c r="Q47" s="52"/>
    </row>
    <row r="48" spans="1:30" ht="220.8" x14ac:dyDescent="0.3">
      <c r="A48" s="1">
        <v>1</v>
      </c>
      <c r="B48" s="2" t="s">
        <v>11</v>
      </c>
      <c r="C48" s="3" t="s">
        <v>23</v>
      </c>
      <c r="D48" s="190" t="s">
        <v>10</v>
      </c>
      <c r="E48" s="191">
        <v>1</v>
      </c>
      <c r="F48" s="192">
        <f>SUM(H48:N48)</f>
        <v>15000</v>
      </c>
      <c r="G48" s="192">
        <f t="shared" si="0"/>
        <v>15000</v>
      </c>
      <c r="H48" s="63"/>
      <c r="I48" s="60"/>
      <c r="J48" s="42"/>
      <c r="K48" s="189"/>
      <c r="L48" s="68"/>
      <c r="M48" s="70"/>
      <c r="N48" s="51">
        <v>15000</v>
      </c>
      <c r="O48" s="52"/>
      <c r="P48" s="52"/>
      <c r="Q48" s="52"/>
    </row>
    <row r="49" spans="1:17" ht="160.5" customHeight="1" x14ac:dyDescent="0.3">
      <c r="A49" s="1">
        <v>1</v>
      </c>
      <c r="B49" s="2" t="s">
        <v>13</v>
      </c>
      <c r="C49" s="3" t="s">
        <v>464</v>
      </c>
      <c r="D49" s="190" t="s">
        <v>29</v>
      </c>
      <c r="E49" s="191">
        <f t="shared" ref="E49:E55" si="1">SUM(H49:N49)</f>
        <v>10</v>
      </c>
      <c r="F49" s="192">
        <v>500</v>
      </c>
      <c r="G49" s="192">
        <f t="shared" si="0"/>
        <v>5000</v>
      </c>
      <c r="H49" s="63"/>
      <c r="I49" s="60"/>
      <c r="J49" s="42"/>
      <c r="K49" s="189"/>
      <c r="L49" s="68"/>
      <c r="M49" s="70"/>
      <c r="N49" s="51">
        <v>10</v>
      </c>
      <c r="O49" s="52"/>
      <c r="P49" s="52"/>
      <c r="Q49" s="52"/>
    </row>
    <row r="50" spans="1:17" ht="165.6" x14ac:dyDescent="0.3">
      <c r="A50" s="1">
        <v>1</v>
      </c>
      <c r="B50" s="2" t="s">
        <v>26</v>
      </c>
      <c r="C50" s="3" t="s">
        <v>465</v>
      </c>
      <c r="D50" s="190" t="s">
        <v>29</v>
      </c>
      <c r="E50" s="191">
        <f t="shared" si="1"/>
        <v>1</v>
      </c>
      <c r="F50" s="192">
        <v>500</v>
      </c>
      <c r="G50" s="192">
        <f t="shared" si="0"/>
        <v>500</v>
      </c>
      <c r="H50" s="63"/>
      <c r="I50" s="60"/>
      <c r="J50" s="42"/>
      <c r="K50" s="189"/>
      <c r="L50" s="68"/>
      <c r="M50" s="70"/>
      <c r="N50" s="51">
        <v>1</v>
      </c>
      <c r="O50" s="52"/>
      <c r="P50" s="52"/>
      <c r="Q50" s="52"/>
    </row>
    <row r="51" spans="1:17" ht="151.80000000000001" x14ac:dyDescent="0.3">
      <c r="A51" s="1">
        <v>1</v>
      </c>
      <c r="B51" s="2" t="s">
        <v>28</v>
      </c>
      <c r="C51" s="3" t="s">
        <v>39</v>
      </c>
      <c r="D51" s="190" t="s">
        <v>37</v>
      </c>
      <c r="E51" s="191">
        <f t="shared" si="1"/>
        <v>0.51</v>
      </c>
      <c r="F51" s="192">
        <v>2800</v>
      </c>
      <c r="G51" s="192">
        <f t="shared" si="0"/>
        <v>1428</v>
      </c>
      <c r="H51" s="63"/>
      <c r="I51" s="60"/>
      <c r="J51" s="42"/>
      <c r="K51" s="189"/>
      <c r="L51" s="68"/>
      <c r="M51" s="70"/>
      <c r="N51" s="51">
        <v>0.51</v>
      </c>
      <c r="O51" s="52"/>
      <c r="P51" s="52"/>
      <c r="Q51" s="52"/>
    </row>
    <row r="52" spans="1:17" ht="179.4" x14ac:dyDescent="0.3">
      <c r="A52" s="1">
        <v>1</v>
      </c>
      <c r="B52" s="2" t="s">
        <v>30</v>
      </c>
      <c r="C52" s="3" t="s">
        <v>466</v>
      </c>
      <c r="D52" s="190" t="s">
        <v>25</v>
      </c>
      <c r="E52" s="191">
        <f t="shared" si="1"/>
        <v>0.5</v>
      </c>
      <c r="F52" s="192">
        <v>1800</v>
      </c>
      <c r="G52" s="192">
        <f t="shared" si="0"/>
        <v>900</v>
      </c>
      <c r="H52" s="63"/>
      <c r="I52" s="60"/>
      <c r="J52" s="42"/>
      <c r="K52" s="189"/>
      <c r="L52" s="68"/>
      <c r="M52" s="70"/>
      <c r="N52" s="51">
        <v>0.5</v>
      </c>
      <c r="O52" s="52"/>
      <c r="P52" s="52"/>
      <c r="Q52" s="52"/>
    </row>
    <row r="53" spans="1:17" ht="125.25" customHeight="1" x14ac:dyDescent="0.3">
      <c r="A53" s="1">
        <v>1</v>
      </c>
      <c r="B53" s="2" t="s">
        <v>31</v>
      </c>
      <c r="C53" s="3" t="s">
        <v>311</v>
      </c>
      <c r="D53" s="190" t="s">
        <v>25</v>
      </c>
      <c r="E53" s="191">
        <f t="shared" si="1"/>
        <v>3.4333333333333331</v>
      </c>
      <c r="F53" s="192">
        <v>1200</v>
      </c>
      <c r="G53" s="192">
        <f t="shared" si="0"/>
        <v>4120</v>
      </c>
      <c r="H53" s="63"/>
      <c r="I53" s="60"/>
      <c r="J53" s="42"/>
      <c r="K53" s="189"/>
      <c r="L53" s="68"/>
      <c r="M53" s="70"/>
      <c r="N53" s="51">
        <f>(0.02+0.012+0.01+0.013+0.012+0.01+0.026)/0.03</f>
        <v>3.4333333333333331</v>
      </c>
      <c r="O53" s="52"/>
      <c r="P53" s="52"/>
      <c r="Q53" s="52"/>
    </row>
    <row r="54" spans="1:17" ht="151.80000000000001" x14ac:dyDescent="0.3">
      <c r="A54" s="1">
        <v>1</v>
      </c>
      <c r="B54" s="2" t="s">
        <v>33</v>
      </c>
      <c r="C54" s="3" t="s">
        <v>54</v>
      </c>
      <c r="D54" s="190" t="s">
        <v>25</v>
      </c>
      <c r="E54" s="191">
        <f t="shared" si="1"/>
        <v>2.88</v>
      </c>
      <c r="F54" s="192">
        <v>3000</v>
      </c>
      <c r="G54" s="192">
        <f t="shared" si="0"/>
        <v>8640</v>
      </c>
      <c r="H54" s="63"/>
      <c r="I54" s="60"/>
      <c r="J54" s="42"/>
      <c r="K54" s="189"/>
      <c r="L54" s="68"/>
      <c r="M54" s="70"/>
      <c r="N54" s="51">
        <v>2.88</v>
      </c>
      <c r="O54" s="52"/>
      <c r="P54" s="52"/>
      <c r="Q54" s="52"/>
    </row>
    <row r="55" spans="1:17" ht="179.4" x14ac:dyDescent="0.3">
      <c r="A55" s="1">
        <v>1</v>
      </c>
      <c r="B55" s="2" t="s">
        <v>35</v>
      </c>
      <c r="C55" s="3" t="s">
        <v>595</v>
      </c>
      <c r="D55" s="190" t="s">
        <v>29</v>
      </c>
      <c r="E55" s="191">
        <f t="shared" si="1"/>
        <v>2</v>
      </c>
      <c r="F55" s="44">
        <f>27000+3000</f>
        <v>30000</v>
      </c>
      <c r="G55" s="192">
        <f t="shared" si="0"/>
        <v>60000</v>
      </c>
      <c r="H55" s="63"/>
      <c r="I55" s="60"/>
      <c r="J55" s="42"/>
      <c r="K55" s="189"/>
      <c r="L55" s="68"/>
      <c r="M55" s="70"/>
      <c r="N55" s="51">
        <v>2</v>
      </c>
      <c r="O55" s="52"/>
      <c r="P55" s="52"/>
      <c r="Q55" s="52"/>
    </row>
    <row r="56" spans="1:17" ht="72" customHeight="1" x14ac:dyDescent="0.3">
      <c r="A56" s="1">
        <v>1</v>
      </c>
      <c r="B56" s="2" t="s">
        <v>38</v>
      </c>
      <c r="C56" s="3" t="s">
        <v>59</v>
      </c>
      <c r="D56" s="190" t="s">
        <v>37</v>
      </c>
      <c r="E56" s="191">
        <f>SUM(H56:N56)*1.15</f>
        <v>2.1332499999999999</v>
      </c>
      <c r="F56" s="192">
        <v>800</v>
      </c>
      <c r="G56" s="192">
        <f>$E56*$F56</f>
        <v>1706.6</v>
      </c>
      <c r="H56" s="63"/>
      <c r="I56" s="60"/>
      <c r="J56" s="42"/>
      <c r="K56" s="189"/>
      <c r="L56" s="68"/>
      <c r="M56" s="70"/>
      <c r="N56" s="51">
        <f>N51+N52*0.18+N53*0.03+N54*0.4</f>
        <v>1.855</v>
      </c>
      <c r="O56" s="52"/>
      <c r="P56" s="52"/>
      <c r="Q56" s="52"/>
    </row>
    <row r="57" spans="1:17" ht="96.6" x14ac:dyDescent="0.3">
      <c r="A57" s="1">
        <v>1</v>
      </c>
      <c r="B57" s="2" t="s">
        <v>40</v>
      </c>
      <c r="C57" s="3" t="s">
        <v>596</v>
      </c>
      <c r="D57" s="190" t="s">
        <v>37</v>
      </c>
      <c r="E57" s="191">
        <f>SUM(H57:N57)*1.15</f>
        <v>2.1332499999999999</v>
      </c>
      <c r="F57" s="192">
        <v>600</v>
      </c>
      <c r="G57" s="192">
        <f>$E57*$F57</f>
        <v>1279.9499999999998</v>
      </c>
      <c r="H57" s="63"/>
      <c r="I57" s="60"/>
      <c r="J57" s="42"/>
      <c r="K57" s="189"/>
      <c r="L57" s="68"/>
      <c r="M57" s="70"/>
      <c r="N57" s="51">
        <f>N51+N52*0.18+N53*0.03+N54*0.4</f>
        <v>1.855</v>
      </c>
      <c r="O57" s="52"/>
      <c r="P57" s="52"/>
      <c r="Q57" s="52"/>
    </row>
    <row r="58" spans="1:17" x14ac:dyDescent="0.3">
      <c r="A58" s="28" t="s">
        <v>15</v>
      </c>
      <c r="B58" s="29"/>
      <c r="C58" s="46" t="s">
        <v>16</v>
      </c>
      <c r="D58" s="31"/>
      <c r="E58" s="32"/>
      <c r="F58" s="33"/>
      <c r="G58" s="33"/>
      <c r="H58" s="63"/>
      <c r="I58" s="60"/>
      <c r="J58" s="42"/>
      <c r="K58" s="189"/>
      <c r="L58" s="68"/>
      <c r="M58" s="70"/>
      <c r="N58" s="51"/>
      <c r="O58" s="52"/>
      <c r="P58" s="52"/>
      <c r="Q58" s="52"/>
    </row>
    <row r="59" spans="1:17" ht="138" x14ac:dyDescent="0.3">
      <c r="A59" s="1">
        <v>2</v>
      </c>
      <c r="B59" s="2" t="s">
        <v>8</v>
      </c>
      <c r="C59" s="45" t="s">
        <v>312</v>
      </c>
      <c r="D59" s="190" t="s">
        <v>37</v>
      </c>
      <c r="E59" s="191">
        <f>SUM(H59:N59)</f>
        <v>0.57000000000000006</v>
      </c>
      <c r="F59" s="192">
        <v>200</v>
      </c>
      <c r="G59" s="192">
        <f>$E59*$F59</f>
        <v>114.00000000000001</v>
      </c>
      <c r="H59" s="63"/>
      <c r="I59" s="60"/>
      <c r="J59" s="42"/>
      <c r="K59" s="189"/>
      <c r="L59" s="68"/>
      <c r="M59" s="70"/>
      <c r="N59" s="51">
        <f>0.38*1.5</f>
        <v>0.57000000000000006</v>
      </c>
      <c r="O59" s="52"/>
      <c r="P59" s="52"/>
      <c r="Q59" s="52"/>
    </row>
    <row r="60" spans="1:17" ht="96.6" x14ac:dyDescent="0.3">
      <c r="A60" s="1">
        <v>2</v>
      </c>
      <c r="B60" s="2" t="s">
        <v>11</v>
      </c>
      <c r="C60" s="45" t="s">
        <v>597</v>
      </c>
      <c r="D60" s="190" t="s">
        <v>25</v>
      </c>
      <c r="E60" s="191">
        <f>SUM(H60:N60)</f>
        <v>6.5</v>
      </c>
      <c r="F60" s="192">
        <v>280</v>
      </c>
      <c r="G60" s="192">
        <f>$E60*$F60</f>
        <v>1820</v>
      </c>
      <c r="H60" s="63"/>
      <c r="I60" s="60"/>
      <c r="J60" s="42"/>
      <c r="K60" s="189"/>
      <c r="L60" s="68"/>
      <c r="M60" s="70"/>
      <c r="N60" s="51">
        <v>6.5</v>
      </c>
      <c r="O60" s="52"/>
      <c r="P60" s="52"/>
      <c r="Q60" s="52"/>
    </row>
    <row r="61" spans="1:17" x14ac:dyDescent="0.3">
      <c r="A61" s="28" t="s">
        <v>63</v>
      </c>
      <c r="B61" s="29"/>
      <c r="C61" s="46" t="s">
        <v>64</v>
      </c>
      <c r="D61" s="31"/>
      <c r="E61" s="32"/>
      <c r="F61" s="33"/>
      <c r="G61" s="33"/>
      <c r="H61" s="63"/>
      <c r="I61" s="60"/>
      <c r="J61" s="42"/>
      <c r="K61" s="189"/>
      <c r="L61" s="68"/>
      <c r="M61" s="70"/>
      <c r="N61" s="51"/>
      <c r="O61" s="52"/>
      <c r="P61" s="52"/>
      <c r="Q61" s="52"/>
    </row>
    <row r="62" spans="1:17" ht="179.4" x14ac:dyDescent="0.3">
      <c r="A62" s="1">
        <v>3</v>
      </c>
      <c r="B62" s="2" t="s">
        <v>8</v>
      </c>
      <c r="C62" s="3" t="s">
        <v>599</v>
      </c>
      <c r="D62" s="190" t="s">
        <v>29</v>
      </c>
      <c r="E62" s="191">
        <f t="shared" ref="E62:E77" si="2">SUM(H62:N62)</f>
        <v>38</v>
      </c>
      <c r="F62" s="44">
        <v>15</v>
      </c>
      <c r="G62" s="192">
        <f t="shared" ref="G62:G66" si="3">$E62*$F62</f>
        <v>570</v>
      </c>
      <c r="H62" s="63"/>
      <c r="I62" s="60"/>
      <c r="J62" s="42"/>
      <c r="K62" s="189"/>
      <c r="L62" s="68"/>
      <c r="M62" s="70"/>
      <c r="N62" s="51">
        <v>38</v>
      </c>
      <c r="O62" s="52"/>
      <c r="P62" s="52"/>
      <c r="Q62" s="52"/>
    </row>
    <row r="63" spans="1:17" ht="179.4" x14ac:dyDescent="0.3">
      <c r="A63" s="1">
        <v>3</v>
      </c>
      <c r="B63" s="2" t="s">
        <v>11</v>
      </c>
      <c r="C63" s="3" t="s">
        <v>467</v>
      </c>
      <c r="D63" s="190" t="s">
        <v>71</v>
      </c>
      <c r="E63" s="191">
        <f t="shared" si="2"/>
        <v>158.66</v>
      </c>
      <c r="F63" s="192">
        <v>12</v>
      </c>
      <c r="G63" s="192">
        <f t="shared" si="3"/>
        <v>1903.92</v>
      </c>
      <c r="H63" s="63"/>
      <c r="I63" s="60"/>
      <c r="J63" s="42"/>
      <c r="K63" s="189"/>
      <c r="L63" s="68"/>
      <c r="M63" s="70"/>
      <c r="N63" s="51">
        <v>158.66</v>
      </c>
      <c r="O63" s="52">
        <f>5*1.3</f>
        <v>6.5</v>
      </c>
      <c r="P63" s="52">
        <f>14*1.3</f>
        <v>18.2</v>
      </c>
      <c r="Q63" s="52">
        <v>12</v>
      </c>
    </row>
    <row r="64" spans="1:17" ht="165.6" x14ac:dyDescent="0.3">
      <c r="A64" s="1">
        <v>3</v>
      </c>
      <c r="B64" s="2" t="s">
        <v>13</v>
      </c>
      <c r="C64" s="3" t="s">
        <v>72</v>
      </c>
      <c r="D64" s="190" t="s">
        <v>71</v>
      </c>
      <c r="E64" s="191">
        <f t="shared" si="2"/>
        <v>16.09</v>
      </c>
      <c r="F64" s="192">
        <v>12</v>
      </c>
      <c r="G64" s="192">
        <f t="shared" si="3"/>
        <v>193.07999999999998</v>
      </c>
      <c r="H64" s="63"/>
      <c r="I64" s="60"/>
      <c r="J64" s="42"/>
      <c r="K64" s="189"/>
      <c r="L64" s="68"/>
      <c r="M64" s="70"/>
      <c r="N64" s="51">
        <v>16.09</v>
      </c>
      <c r="O64" s="52">
        <f>6*1.3</f>
        <v>7.8000000000000007</v>
      </c>
      <c r="P64" s="52">
        <f>10*1.3</f>
        <v>13</v>
      </c>
      <c r="Q64" s="52">
        <v>12</v>
      </c>
    </row>
    <row r="65" spans="1:17" ht="115.5" customHeight="1" x14ac:dyDescent="0.3">
      <c r="A65" s="1">
        <v>3</v>
      </c>
      <c r="B65" s="2" t="s">
        <v>26</v>
      </c>
      <c r="C65" s="3" t="s">
        <v>74</v>
      </c>
      <c r="D65" s="190" t="s">
        <v>25</v>
      </c>
      <c r="E65" s="191">
        <f t="shared" si="2"/>
        <v>11.77</v>
      </c>
      <c r="F65" s="192">
        <v>300</v>
      </c>
      <c r="G65" s="192">
        <f t="shared" si="3"/>
        <v>3531</v>
      </c>
      <c r="H65" s="63"/>
      <c r="I65" s="60"/>
      <c r="J65" s="42"/>
      <c r="K65" s="189"/>
      <c r="L65" s="68"/>
      <c r="M65" s="70"/>
      <c r="N65" s="51">
        <f>11.77</f>
        <v>11.77</v>
      </c>
      <c r="O65" s="52">
        <f>20*1.3</f>
        <v>26</v>
      </c>
      <c r="P65" s="52">
        <f>140*1.3</f>
        <v>182</v>
      </c>
      <c r="Q65" s="52">
        <v>300</v>
      </c>
    </row>
    <row r="66" spans="1:17" ht="151.80000000000001" x14ac:dyDescent="0.3">
      <c r="A66" s="1">
        <v>3</v>
      </c>
      <c r="B66" s="2" t="s">
        <v>28</v>
      </c>
      <c r="C66" s="3" t="s">
        <v>76</v>
      </c>
      <c r="D66" s="190" t="s">
        <v>37</v>
      </c>
      <c r="E66" s="191">
        <f t="shared" si="2"/>
        <v>1.63</v>
      </c>
      <c r="F66" s="192">
        <v>1600</v>
      </c>
      <c r="G66" s="192">
        <f t="shared" si="3"/>
        <v>2608</v>
      </c>
      <c r="H66" s="63"/>
      <c r="I66" s="60"/>
      <c r="J66" s="42"/>
      <c r="K66" s="189"/>
      <c r="L66" s="68"/>
      <c r="M66" s="70"/>
      <c r="N66" s="51">
        <v>1.63</v>
      </c>
      <c r="O66" s="52">
        <f>470*1.3</f>
        <v>611</v>
      </c>
      <c r="P66" s="52">
        <f>200*1.3</f>
        <v>260</v>
      </c>
      <c r="Q66" s="52">
        <v>1900</v>
      </c>
    </row>
    <row r="67" spans="1:17" ht="179.4" x14ac:dyDescent="0.3">
      <c r="A67" s="1">
        <v>3</v>
      </c>
      <c r="B67" s="2" t="s">
        <v>30</v>
      </c>
      <c r="C67" s="45" t="s">
        <v>313</v>
      </c>
      <c r="D67" s="190" t="s">
        <v>29</v>
      </c>
      <c r="E67" s="47">
        <f t="shared" si="2"/>
        <v>7</v>
      </c>
      <c r="F67" s="192">
        <f t="shared" ref="F67:F77" si="4">O67</f>
        <v>22000</v>
      </c>
      <c r="G67" s="192">
        <f>$E67*$F67</f>
        <v>154000</v>
      </c>
      <c r="H67" s="63"/>
      <c r="I67" s="60"/>
      <c r="J67" s="42"/>
      <c r="K67" s="189"/>
      <c r="L67" s="68"/>
      <c r="M67" s="70"/>
      <c r="N67" s="51">
        <v>7</v>
      </c>
      <c r="O67" s="52">
        <f>22000</f>
        <v>22000</v>
      </c>
      <c r="P67" s="52"/>
      <c r="Q67" s="52">
        <v>9000</v>
      </c>
    </row>
    <row r="68" spans="1:17" ht="179.4" x14ac:dyDescent="0.3">
      <c r="A68" s="1">
        <v>3</v>
      </c>
      <c r="B68" s="2" t="s">
        <v>31</v>
      </c>
      <c r="C68" s="45" t="s">
        <v>314</v>
      </c>
      <c r="D68" s="190" t="s">
        <v>29</v>
      </c>
      <c r="E68" s="47">
        <f t="shared" si="2"/>
        <v>2</v>
      </c>
      <c r="F68" s="192">
        <f t="shared" si="4"/>
        <v>14520</v>
      </c>
      <c r="G68" s="192">
        <f t="shared" ref="G68:G77" si="5">$E68*$F68</f>
        <v>29040</v>
      </c>
      <c r="H68" s="63"/>
      <c r="I68" s="60"/>
      <c r="J68" s="42"/>
      <c r="K68" s="189"/>
      <c r="L68" s="68"/>
      <c r="M68" s="70"/>
      <c r="N68" s="51">
        <v>2</v>
      </c>
      <c r="O68" s="52">
        <f>12100*1.2</f>
        <v>14520</v>
      </c>
      <c r="P68" s="52"/>
      <c r="Q68" s="52">
        <v>9000</v>
      </c>
    </row>
    <row r="69" spans="1:17" ht="179.4" x14ac:dyDescent="0.3">
      <c r="A69" s="1">
        <v>3</v>
      </c>
      <c r="B69" s="2" t="s">
        <v>33</v>
      </c>
      <c r="C69" s="45" t="s">
        <v>315</v>
      </c>
      <c r="D69" s="190" t="s">
        <v>29</v>
      </c>
      <c r="E69" s="47">
        <f t="shared" si="2"/>
        <v>1</v>
      </c>
      <c r="F69" s="192">
        <f t="shared" si="4"/>
        <v>12000</v>
      </c>
      <c r="G69" s="192">
        <f t="shared" si="5"/>
        <v>12000</v>
      </c>
      <c r="H69" s="63"/>
      <c r="I69" s="60"/>
      <c r="J69" s="42"/>
      <c r="K69" s="189"/>
      <c r="L69" s="68"/>
      <c r="M69" s="70"/>
      <c r="N69" s="51">
        <v>1</v>
      </c>
      <c r="O69" s="52">
        <f>12000</f>
        <v>12000</v>
      </c>
      <c r="P69" s="52"/>
      <c r="Q69" s="52">
        <v>9000</v>
      </c>
    </row>
    <row r="70" spans="1:17" ht="179.4" x14ac:dyDescent="0.3">
      <c r="A70" s="1">
        <v>3</v>
      </c>
      <c r="B70" s="2" t="s">
        <v>35</v>
      </c>
      <c r="C70" s="45" t="s">
        <v>316</v>
      </c>
      <c r="D70" s="190" t="s">
        <v>29</v>
      </c>
      <c r="E70" s="191">
        <f t="shared" si="2"/>
        <v>1</v>
      </c>
      <c r="F70" s="192">
        <f t="shared" si="4"/>
        <v>10500</v>
      </c>
      <c r="G70" s="192">
        <f t="shared" si="5"/>
        <v>10500</v>
      </c>
      <c r="H70" s="63"/>
      <c r="I70" s="60"/>
      <c r="J70" s="42"/>
      <c r="K70" s="189"/>
      <c r="L70" s="68"/>
      <c r="M70" s="70"/>
      <c r="N70" s="51">
        <v>1</v>
      </c>
      <c r="O70" s="52">
        <f>10500</f>
        <v>10500</v>
      </c>
      <c r="P70" s="52"/>
      <c r="Q70" s="52">
        <v>5000</v>
      </c>
    </row>
    <row r="71" spans="1:17" ht="151.80000000000001" x14ac:dyDescent="0.3">
      <c r="A71" s="1">
        <v>3</v>
      </c>
      <c r="B71" s="2" t="s">
        <v>38</v>
      </c>
      <c r="C71" s="45" t="s">
        <v>317</v>
      </c>
      <c r="D71" s="190" t="s">
        <v>29</v>
      </c>
      <c r="E71" s="191">
        <f t="shared" si="2"/>
        <v>1</v>
      </c>
      <c r="F71" s="192">
        <f t="shared" si="4"/>
        <v>6000</v>
      </c>
      <c r="G71" s="192">
        <f t="shared" si="5"/>
        <v>6000</v>
      </c>
      <c r="H71" s="63"/>
      <c r="I71" s="60"/>
      <c r="J71" s="42"/>
      <c r="K71" s="189"/>
      <c r="L71" s="68"/>
      <c r="M71" s="70"/>
      <c r="N71" s="51">
        <v>1</v>
      </c>
      <c r="O71" s="52">
        <v>6000</v>
      </c>
      <c r="P71" s="52"/>
      <c r="Q71" s="52">
        <v>5000</v>
      </c>
    </row>
    <row r="72" spans="1:17" ht="179.4" x14ac:dyDescent="0.3">
      <c r="A72" s="1">
        <v>3</v>
      </c>
      <c r="B72" s="2" t="s">
        <v>40</v>
      </c>
      <c r="C72" s="45" t="s">
        <v>322</v>
      </c>
      <c r="D72" s="190" t="s">
        <v>29</v>
      </c>
      <c r="E72" s="191">
        <v>3</v>
      </c>
      <c r="F72" s="192">
        <f t="shared" si="4"/>
        <v>10000</v>
      </c>
      <c r="G72" s="192">
        <f t="shared" si="5"/>
        <v>30000</v>
      </c>
      <c r="H72" s="63"/>
      <c r="I72" s="60"/>
      <c r="J72" s="42"/>
      <c r="K72" s="189"/>
      <c r="L72" s="68"/>
      <c r="M72" s="70"/>
      <c r="N72" s="51">
        <v>4</v>
      </c>
      <c r="O72" s="52">
        <v>10000</v>
      </c>
      <c r="P72" s="52"/>
      <c r="Q72" s="52">
        <v>5000</v>
      </c>
    </row>
    <row r="73" spans="1:17" ht="179.4" x14ac:dyDescent="0.3">
      <c r="A73" s="1">
        <v>3</v>
      </c>
      <c r="B73" s="2" t="s">
        <v>42</v>
      </c>
      <c r="C73" s="45" t="s">
        <v>318</v>
      </c>
      <c r="D73" s="190" t="s">
        <v>29</v>
      </c>
      <c r="E73" s="191">
        <v>2</v>
      </c>
      <c r="F73" s="192">
        <f t="shared" si="4"/>
        <v>13000</v>
      </c>
      <c r="G73" s="192">
        <f t="shared" si="5"/>
        <v>26000</v>
      </c>
      <c r="H73" s="63"/>
      <c r="I73" s="60"/>
      <c r="J73" s="42"/>
      <c r="K73" s="189"/>
      <c r="L73" s="68"/>
      <c r="M73" s="70"/>
      <c r="N73" s="51">
        <v>1</v>
      </c>
      <c r="O73" s="52">
        <v>13000</v>
      </c>
      <c r="P73" s="52"/>
      <c r="Q73" s="52">
        <v>5000</v>
      </c>
    </row>
    <row r="74" spans="1:17" ht="179.4" x14ac:dyDescent="0.3">
      <c r="A74" s="1">
        <v>3</v>
      </c>
      <c r="B74" s="2" t="s">
        <v>44</v>
      </c>
      <c r="C74" s="45" t="s">
        <v>319</v>
      </c>
      <c r="D74" s="190" t="s">
        <v>29</v>
      </c>
      <c r="E74" s="191">
        <f t="shared" si="2"/>
        <v>1</v>
      </c>
      <c r="F74" s="192">
        <f t="shared" si="4"/>
        <v>12500</v>
      </c>
      <c r="G74" s="192">
        <f t="shared" si="5"/>
        <v>12500</v>
      </c>
      <c r="H74" s="63"/>
      <c r="I74" s="60"/>
      <c r="J74" s="42"/>
      <c r="K74" s="189"/>
      <c r="L74" s="68"/>
      <c r="M74" s="70"/>
      <c r="N74" s="51">
        <v>1</v>
      </c>
      <c r="O74" s="52">
        <v>12500</v>
      </c>
      <c r="P74" s="52"/>
      <c r="Q74" s="52">
        <v>5000</v>
      </c>
    </row>
    <row r="75" spans="1:17" ht="179.4" x14ac:dyDescent="0.3">
      <c r="A75" s="1">
        <v>3</v>
      </c>
      <c r="B75" s="2" t="s">
        <v>46</v>
      </c>
      <c r="C75" s="45" t="s">
        <v>486</v>
      </c>
      <c r="D75" s="190" t="s">
        <v>29</v>
      </c>
      <c r="E75" s="191">
        <f t="shared" si="2"/>
        <v>1</v>
      </c>
      <c r="F75" s="192">
        <f t="shared" si="4"/>
        <v>9000</v>
      </c>
      <c r="G75" s="192">
        <f t="shared" si="5"/>
        <v>9000</v>
      </c>
      <c r="H75" s="63"/>
      <c r="I75" s="60"/>
      <c r="J75" s="42"/>
      <c r="K75" s="189"/>
      <c r="L75" s="68"/>
      <c r="M75" s="70"/>
      <c r="N75" s="51">
        <v>1</v>
      </c>
      <c r="O75" s="52">
        <v>9000</v>
      </c>
      <c r="P75" s="52"/>
      <c r="Q75" s="52">
        <v>5000</v>
      </c>
    </row>
    <row r="76" spans="1:17" ht="179.4" x14ac:dyDescent="0.3">
      <c r="A76" s="1">
        <v>3</v>
      </c>
      <c r="B76" s="2" t="s">
        <v>48</v>
      </c>
      <c r="C76" s="45" t="s">
        <v>487</v>
      </c>
      <c r="D76" s="190" t="s">
        <v>29</v>
      </c>
      <c r="E76" s="191">
        <f t="shared" si="2"/>
        <v>1</v>
      </c>
      <c r="F76" s="192">
        <f t="shared" si="4"/>
        <v>11700</v>
      </c>
      <c r="G76" s="192">
        <f t="shared" si="5"/>
        <v>11700</v>
      </c>
      <c r="H76" s="63"/>
      <c r="I76" s="60"/>
      <c r="J76" s="42"/>
      <c r="K76" s="189"/>
      <c r="L76" s="68"/>
      <c r="M76" s="70"/>
      <c r="N76" s="51">
        <v>1</v>
      </c>
      <c r="O76" s="52">
        <f>9000*1.3</f>
        <v>11700</v>
      </c>
      <c r="P76" s="52"/>
      <c r="Q76" s="52">
        <v>5000</v>
      </c>
    </row>
    <row r="77" spans="1:17" ht="138" x14ac:dyDescent="0.3">
      <c r="A77" s="1">
        <v>3</v>
      </c>
      <c r="B77" s="2" t="s">
        <v>50</v>
      </c>
      <c r="C77" s="45" t="s">
        <v>80</v>
      </c>
      <c r="D77" s="190" t="s">
        <v>29</v>
      </c>
      <c r="E77" s="191">
        <f t="shared" si="2"/>
        <v>1</v>
      </c>
      <c r="F77" s="192">
        <f t="shared" si="4"/>
        <v>3960</v>
      </c>
      <c r="G77" s="192">
        <f t="shared" si="5"/>
        <v>3960</v>
      </c>
      <c r="H77" s="63"/>
      <c r="I77" s="60"/>
      <c r="J77" s="42"/>
      <c r="K77" s="189"/>
      <c r="L77" s="68"/>
      <c r="M77" s="70"/>
      <c r="N77" s="51">
        <v>1</v>
      </c>
      <c r="O77" s="52">
        <f>3300*1.2</f>
        <v>3960</v>
      </c>
      <c r="P77" s="52"/>
      <c r="Q77" s="52">
        <v>5000</v>
      </c>
    </row>
    <row r="78" spans="1:17" x14ac:dyDescent="0.3">
      <c r="A78" s="28" t="s">
        <v>83</v>
      </c>
      <c r="B78" s="29"/>
      <c r="C78" s="46" t="s">
        <v>84</v>
      </c>
      <c r="D78" s="31"/>
      <c r="E78" s="32"/>
      <c r="F78" s="33"/>
      <c r="G78" s="33"/>
      <c r="H78" s="63"/>
      <c r="I78" s="60"/>
      <c r="J78" s="42"/>
      <c r="K78" s="189"/>
      <c r="L78" s="68"/>
      <c r="M78" s="70"/>
      <c r="N78" s="51"/>
      <c r="O78" s="52"/>
      <c r="P78" s="52"/>
      <c r="Q78" s="52"/>
    </row>
    <row r="79" spans="1:17" ht="179.4" x14ac:dyDescent="0.3">
      <c r="A79" s="1">
        <v>4</v>
      </c>
      <c r="B79" s="2" t="s">
        <v>8</v>
      </c>
      <c r="C79" s="3" t="s">
        <v>488</v>
      </c>
      <c r="D79" s="190" t="s">
        <v>25</v>
      </c>
      <c r="E79" s="191">
        <f>SUM(H79:N79)</f>
        <v>5</v>
      </c>
      <c r="F79" s="192">
        <v>300</v>
      </c>
      <c r="G79" s="192">
        <f>$E79*$F79</f>
        <v>1500</v>
      </c>
      <c r="H79" s="63"/>
      <c r="I79" s="60"/>
      <c r="J79" s="42"/>
      <c r="K79" s="189"/>
      <c r="L79" s="68"/>
      <c r="M79" s="70"/>
      <c r="N79" s="51">
        <v>5</v>
      </c>
      <c r="O79" s="52"/>
      <c r="P79" s="52">
        <f>120*1.3</f>
        <v>156</v>
      </c>
      <c r="Q79" s="52">
        <v>210</v>
      </c>
    </row>
    <row r="80" spans="1:17" s="52" customFormat="1" ht="220.8" x14ac:dyDescent="0.3">
      <c r="A80" s="8">
        <v>4</v>
      </c>
      <c r="B80" s="2" t="s">
        <v>11</v>
      </c>
      <c r="C80" s="83" t="s">
        <v>602</v>
      </c>
      <c r="D80" s="11" t="s">
        <v>18</v>
      </c>
      <c r="E80" s="191">
        <f>SUM(H80:N80)</f>
        <v>35</v>
      </c>
      <c r="F80" s="14">
        <v>450</v>
      </c>
      <c r="G80" s="14">
        <f t="shared" ref="G80" si="6">$E80*$F80</f>
        <v>15750</v>
      </c>
      <c r="H80" s="81"/>
      <c r="I80" s="40"/>
      <c r="J80" s="41"/>
      <c r="K80" s="189"/>
      <c r="L80" s="43"/>
      <c r="N80" s="53">
        <v>35</v>
      </c>
      <c r="O80" s="52">
        <v>200</v>
      </c>
    </row>
    <row r="81" spans="1:17" x14ac:dyDescent="0.3">
      <c r="A81" s="28" t="s">
        <v>87</v>
      </c>
      <c r="B81" s="29"/>
      <c r="C81" s="46" t="s">
        <v>88</v>
      </c>
      <c r="D81" s="31"/>
      <c r="E81" s="32"/>
      <c r="F81" s="33"/>
      <c r="G81" s="33"/>
      <c r="H81" s="63"/>
      <c r="I81" s="60"/>
      <c r="J81" s="42"/>
      <c r="K81" s="189"/>
      <c r="L81" s="68"/>
      <c r="M81" s="70"/>
      <c r="N81" s="51"/>
      <c r="O81" s="52"/>
      <c r="P81" s="52"/>
      <c r="Q81" s="52"/>
    </row>
    <row r="82" spans="1:17" ht="179.4" x14ac:dyDescent="0.3">
      <c r="A82" s="1">
        <v>5</v>
      </c>
      <c r="B82" s="2" t="s">
        <v>8</v>
      </c>
      <c r="C82" s="3" t="s">
        <v>605</v>
      </c>
      <c r="D82" s="190" t="s">
        <v>25</v>
      </c>
      <c r="E82" s="191">
        <f>SUM(H82:N82)</f>
        <v>109.86000000000001</v>
      </c>
      <c r="F82" s="192">
        <v>200</v>
      </c>
      <c r="G82" s="192">
        <f>$E82*$F82</f>
        <v>21972.000000000004</v>
      </c>
      <c r="H82" s="63"/>
      <c r="I82" s="60"/>
      <c r="J82" s="42"/>
      <c r="K82" s="189"/>
      <c r="L82" s="68"/>
      <c r="M82" s="70"/>
      <c r="N82" s="51">
        <f>9.6+9+17.66+11.36+10.36+12.04+12.44+7.64+19.76</f>
        <v>109.86000000000001</v>
      </c>
      <c r="O82" s="52"/>
      <c r="P82" s="52">
        <f>110*1.3+25</f>
        <v>168</v>
      </c>
      <c r="Q82" s="52">
        <v>200</v>
      </c>
    </row>
    <row r="83" spans="1:17" ht="151.80000000000001" x14ac:dyDescent="0.3">
      <c r="A83" s="1">
        <v>5</v>
      </c>
      <c r="B83" s="2" t="s">
        <v>11</v>
      </c>
      <c r="C83" s="3" t="s">
        <v>468</v>
      </c>
      <c r="D83" s="190" t="s">
        <v>25</v>
      </c>
      <c r="E83" s="191">
        <f>SUM(H83:N83)</f>
        <v>44.769999999999996</v>
      </c>
      <c r="F83" s="192">
        <f>O83</f>
        <v>221</v>
      </c>
      <c r="G83" s="192">
        <f>$E83*$F83</f>
        <v>9894.1699999999983</v>
      </c>
      <c r="H83" s="63"/>
      <c r="I83" s="60"/>
      <c r="J83" s="42"/>
      <c r="K83" s="189"/>
      <c r="L83" s="68"/>
      <c r="M83" s="70"/>
      <c r="N83" s="51">
        <f>4.8+4.5+8.61+5.18+5.68+6.02+9.98</f>
        <v>44.769999999999996</v>
      </c>
      <c r="O83" s="52">
        <f>170*1.3</f>
        <v>221</v>
      </c>
      <c r="P83" s="52"/>
      <c r="Q83" s="52">
        <v>200</v>
      </c>
    </row>
    <row r="84" spans="1:17" ht="124.2" x14ac:dyDescent="0.3">
      <c r="A84" s="1">
        <v>5</v>
      </c>
      <c r="B84" s="2" t="s">
        <v>13</v>
      </c>
      <c r="C84" s="45" t="s">
        <v>489</v>
      </c>
      <c r="D84" s="190" t="s">
        <v>25</v>
      </c>
      <c r="E84" s="191">
        <f>SUM(H84:N84)</f>
        <v>5.31</v>
      </c>
      <c r="F84" s="192">
        <v>630</v>
      </c>
      <c r="G84" s="192">
        <f>E84*F84</f>
        <v>3345.2999999999997</v>
      </c>
      <c r="H84" s="63"/>
      <c r="I84" s="60"/>
      <c r="J84" s="42"/>
      <c r="K84" s="189"/>
      <c r="L84" s="68"/>
      <c r="M84" s="70"/>
      <c r="N84" s="51">
        <v>5.31</v>
      </c>
      <c r="O84" s="52"/>
      <c r="P84" s="52"/>
      <c r="Q84" s="52"/>
    </row>
    <row r="85" spans="1:17" ht="133.5" customHeight="1" x14ac:dyDescent="0.3">
      <c r="A85" s="1">
        <v>5</v>
      </c>
      <c r="B85" s="2" t="s">
        <v>26</v>
      </c>
      <c r="C85" s="45" t="s">
        <v>490</v>
      </c>
      <c r="D85" s="190" t="s">
        <v>18</v>
      </c>
      <c r="E85" s="191">
        <f>SUM(H85:N85)</f>
        <v>17.739999999999998</v>
      </c>
      <c r="F85" s="192">
        <v>55</v>
      </c>
      <c r="G85" s="192">
        <f>E85*F85</f>
        <v>975.69999999999993</v>
      </c>
      <c r="H85" s="63"/>
      <c r="I85" s="60"/>
      <c r="J85" s="42"/>
      <c r="K85" s="189"/>
      <c r="L85" s="68"/>
      <c r="M85" s="70"/>
      <c r="N85" s="51">
        <f>2.12+1.22+3.68+2.36+3.56+1.36+3.44</f>
        <v>17.739999999999998</v>
      </c>
      <c r="O85" s="52"/>
      <c r="P85" s="52"/>
      <c r="Q85" s="52"/>
    </row>
    <row r="86" spans="1:17" x14ac:dyDescent="0.3">
      <c r="A86" s="28" t="s">
        <v>97</v>
      </c>
      <c r="B86" s="29"/>
      <c r="C86" s="46" t="s">
        <v>95</v>
      </c>
      <c r="D86" s="31"/>
      <c r="E86" s="32"/>
      <c r="F86" s="33"/>
      <c r="G86" s="33"/>
      <c r="H86" s="63"/>
      <c r="I86" s="60"/>
      <c r="J86" s="42"/>
      <c r="K86" s="189"/>
      <c r="L86" s="68"/>
      <c r="M86" s="70"/>
      <c r="N86" s="51"/>
      <c r="O86" s="52"/>
      <c r="P86" s="52"/>
      <c r="Q86" s="52"/>
    </row>
    <row r="87" spans="1:17" ht="96.6" x14ac:dyDescent="0.3">
      <c r="A87" s="1">
        <v>7</v>
      </c>
      <c r="B87" s="2" t="s">
        <v>8</v>
      </c>
      <c r="C87" s="45" t="s">
        <v>491</v>
      </c>
      <c r="D87" s="190" t="s">
        <v>18</v>
      </c>
      <c r="E87" s="191">
        <f>SUM(H87:N87)</f>
        <v>6.15</v>
      </c>
      <c r="F87" s="192">
        <v>450</v>
      </c>
      <c r="G87" s="192">
        <f>E87*F87</f>
        <v>2767.5</v>
      </c>
      <c r="H87" s="63"/>
      <c r="I87" s="60"/>
      <c r="J87" s="42"/>
      <c r="K87" s="189"/>
      <c r="L87" s="68"/>
      <c r="M87" s="70"/>
      <c r="N87" s="51">
        <v>6.15</v>
      </c>
      <c r="O87" s="52"/>
      <c r="P87" s="52"/>
      <c r="Q87" s="52"/>
    </row>
    <row r="88" spans="1:17" x14ac:dyDescent="0.3">
      <c r="A88" s="28" t="s">
        <v>102</v>
      </c>
      <c r="B88" s="29"/>
      <c r="C88" s="46" t="s">
        <v>98</v>
      </c>
      <c r="D88" s="31"/>
      <c r="E88" s="32"/>
      <c r="F88" s="33"/>
      <c r="G88" s="33"/>
      <c r="H88" s="63"/>
      <c r="I88" s="60"/>
      <c r="J88" s="42"/>
      <c r="K88" s="189"/>
      <c r="L88" s="68"/>
      <c r="M88" s="70"/>
      <c r="N88" s="51"/>
      <c r="O88" s="52"/>
      <c r="P88" s="52"/>
      <c r="Q88" s="52"/>
    </row>
    <row r="89" spans="1:17" ht="193.2" x14ac:dyDescent="0.3">
      <c r="A89" s="1">
        <v>8</v>
      </c>
      <c r="B89" s="2" t="s">
        <v>8</v>
      </c>
      <c r="C89" s="45" t="s">
        <v>469</v>
      </c>
      <c r="D89" s="190" t="s">
        <v>25</v>
      </c>
      <c r="E89" s="191">
        <f>SUM(H89:N89)</f>
        <v>1.39</v>
      </c>
      <c r="F89" s="192">
        <f>O89</f>
        <v>558</v>
      </c>
      <c r="G89" s="192">
        <f>$E89*$F89</f>
        <v>775.61999999999989</v>
      </c>
      <c r="H89" s="63"/>
      <c r="I89" s="60"/>
      <c r="J89" s="42"/>
      <c r="K89" s="189"/>
      <c r="L89" s="68"/>
      <c r="M89" s="70"/>
      <c r="N89" s="51">
        <v>1.39</v>
      </c>
      <c r="O89" s="52">
        <f>258+50+250</f>
        <v>558</v>
      </c>
      <c r="P89" s="52"/>
      <c r="Q89" s="52">
        <v>360</v>
      </c>
    </row>
    <row r="90" spans="1:17" ht="124.2" x14ac:dyDescent="0.3">
      <c r="A90" s="1">
        <v>8</v>
      </c>
      <c r="B90" s="2" t="s">
        <v>11</v>
      </c>
      <c r="C90" s="45" t="s">
        <v>606</v>
      </c>
      <c r="D90" s="190" t="s">
        <v>25</v>
      </c>
      <c r="E90" s="191">
        <f>SUM(H90:N90)</f>
        <v>1.39</v>
      </c>
      <c r="F90" s="192">
        <v>210</v>
      </c>
      <c r="G90" s="192">
        <f t="shared" ref="G90" si="7">$E90*$F90</f>
        <v>291.89999999999998</v>
      </c>
      <c r="H90" s="63"/>
      <c r="I90" s="60"/>
      <c r="J90" s="42"/>
      <c r="K90" s="189"/>
      <c r="L90" s="68"/>
      <c r="M90" s="70"/>
      <c r="N90" s="51">
        <v>1.39</v>
      </c>
      <c r="O90" s="52">
        <f>168+90</f>
        <v>258</v>
      </c>
      <c r="P90" s="52"/>
      <c r="Q90" s="52">
        <v>170</v>
      </c>
    </row>
    <row r="91" spans="1:17" x14ac:dyDescent="0.3">
      <c r="A91" s="28">
        <v>9</v>
      </c>
      <c r="B91" s="29"/>
      <c r="C91" s="46" t="s">
        <v>106</v>
      </c>
      <c r="D91" s="31"/>
      <c r="E91" s="32"/>
      <c r="F91" s="33"/>
      <c r="G91" s="33"/>
      <c r="H91" s="63"/>
      <c r="I91" s="60"/>
      <c r="J91" s="42"/>
      <c r="K91" s="189"/>
      <c r="L91" s="68"/>
      <c r="M91" s="70"/>
      <c r="N91" s="51"/>
      <c r="O91" s="52"/>
      <c r="P91" s="52"/>
      <c r="Q91" s="52"/>
    </row>
    <row r="92" spans="1:17" ht="186" customHeight="1" x14ac:dyDescent="0.3">
      <c r="A92" s="1">
        <v>9</v>
      </c>
      <c r="B92" s="2" t="s">
        <v>8</v>
      </c>
      <c r="C92" s="3" t="s">
        <v>492</v>
      </c>
      <c r="D92" s="190" t="s">
        <v>25</v>
      </c>
      <c r="E92" s="191">
        <f>SUM(H92:N92)</f>
        <v>109.86000000000001</v>
      </c>
      <c r="F92" s="192">
        <v>84</v>
      </c>
      <c r="G92" s="192">
        <f>$E92*$F92</f>
        <v>9228.2400000000016</v>
      </c>
      <c r="H92" s="63"/>
      <c r="I92" s="60"/>
      <c r="J92" s="42"/>
      <c r="K92" s="189"/>
      <c r="L92" s="68"/>
      <c r="M92" s="70"/>
      <c r="N92" s="51">
        <f>9.6+9+17.66+11.36+10.36+12.04+12.44+7.64+19.76</f>
        <v>109.86000000000001</v>
      </c>
      <c r="O92" s="52">
        <v>80</v>
      </c>
      <c r="P92" s="52"/>
      <c r="Q92" s="52">
        <v>60</v>
      </c>
    </row>
    <row r="93" spans="1:17" x14ac:dyDescent="0.3">
      <c r="A93" s="34"/>
      <c r="B93" s="74"/>
      <c r="C93" s="75"/>
      <c r="D93" s="193"/>
      <c r="E93" s="194"/>
      <c r="F93" s="192" t="s">
        <v>19</v>
      </c>
      <c r="G93" s="192">
        <f>SUM(G46:G92)</f>
        <v>483514.98</v>
      </c>
      <c r="H93" s="63"/>
      <c r="I93" s="60"/>
      <c r="J93" s="42"/>
      <c r="K93" s="189"/>
      <c r="L93" s="68"/>
      <c r="M93" s="70"/>
      <c r="N93" s="51"/>
      <c r="O93" s="52"/>
      <c r="P93" s="52"/>
      <c r="Q93" s="52"/>
    </row>
    <row r="94" spans="1:17" x14ac:dyDescent="0.3">
      <c r="A94" s="76"/>
      <c r="B94" s="35"/>
      <c r="C94" s="77"/>
      <c r="D94" s="78"/>
      <c r="E94" s="79"/>
      <c r="F94" s="192" t="s">
        <v>20</v>
      </c>
      <c r="G94" s="192">
        <f>G93*0.25</f>
        <v>120878.745</v>
      </c>
      <c r="H94" s="63"/>
      <c r="I94" s="60"/>
      <c r="J94" s="42"/>
      <c r="K94" s="189"/>
      <c r="L94" s="68"/>
      <c r="M94" s="70"/>
      <c r="N94" s="51"/>
      <c r="O94" s="52"/>
      <c r="P94" s="52"/>
      <c r="Q94" s="52"/>
    </row>
    <row r="95" spans="1:17" x14ac:dyDescent="0.3">
      <c r="A95" s="76"/>
      <c r="B95" s="35"/>
      <c r="C95" s="77"/>
      <c r="D95" s="78"/>
      <c r="E95" s="79"/>
      <c r="F95" s="13" t="s">
        <v>21</v>
      </c>
      <c r="G95" s="192">
        <f>SUM(G93:G94)</f>
        <v>604393.72499999998</v>
      </c>
      <c r="H95" s="63"/>
      <c r="I95" s="60"/>
      <c r="J95" s="42"/>
      <c r="K95" s="189"/>
      <c r="L95" s="68"/>
      <c r="M95" s="70"/>
      <c r="N95" s="51"/>
      <c r="O95" s="52"/>
      <c r="P95" s="52"/>
      <c r="Q95" s="52"/>
    </row>
  </sheetData>
  <mergeCells count="2">
    <mergeCell ref="A12:G12"/>
    <mergeCell ref="A16:G16"/>
  </mergeCells>
  <pageMargins left="0.98425196850393704" right="0.39370078740157483" top="1.1811023622047245" bottom="0.78740157480314965" header="0.39370078740157483" footer="0.39370078740157483"/>
  <pageSetup paperSize="9" scale="96" orientation="portrait" useFirstPageNumber="1" r:id="rId1"/>
  <headerFooter>
    <oddHeader>&amp;L&amp;G&amp;R&amp;G</oddHeader>
    <oddFooter xml:space="preserve">&amp;L&amp;"-,Bold"&amp;9TROŠKOVNIK &amp;A&amp;"-,Regular"     &amp;KFF0000 &amp;K000000GRAĐEVINSKI PROJEKT - PROJEKT POPRAVKA GRAĐEVINSKE KONSTRUKCIJE     GPP-13/21&amp;R&amp;"-,Bold"&amp;9&amp;P/&amp;N   </oddFooter>
  </headerFooter>
  <rowBreaks count="3" manualBreakCount="3">
    <brk id="60" max="16383" man="1"/>
    <brk id="77" max="16383" man="1"/>
    <brk id="87"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A9FD8-12CE-4690-B592-42112E34C3B1}">
  <dimension ref="A1:L31"/>
  <sheetViews>
    <sheetView tabSelected="1" view="pageBreakPreview" zoomScale="85" zoomScaleNormal="100" zoomScaleSheetLayoutView="85" zoomScalePageLayoutView="60" workbookViewId="0">
      <selection activeCell="C24" sqref="C24"/>
    </sheetView>
  </sheetViews>
  <sheetFormatPr defaultRowHeight="14.4" x14ac:dyDescent="0.3"/>
  <cols>
    <col min="1" max="1" width="5.44140625" style="8" customWidth="1"/>
    <col min="2" max="2" width="60" style="10" customWidth="1"/>
    <col min="3" max="3" width="24.109375" style="182" customWidth="1"/>
    <col min="4" max="4" width="17.33203125" style="183" customWidth="1"/>
    <col min="5" max="5" width="29.44140625" style="183" customWidth="1"/>
  </cols>
  <sheetData>
    <row r="1" spans="1:12" x14ac:dyDescent="0.3">
      <c r="F1" s="61"/>
      <c r="G1" s="58"/>
      <c r="H1" s="57"/>
      <c r="I1" s="71"/>
      <c r="J1" s="72"/>
      <c r="K1" s="73"/>
      <c r="L1" s="55"/>
    </row>
    <row r="2" spans="1:12" x14ac:dyDescent="0.3">
      <c r="F2" s="61"/>
      <c r="G2" s="58"/>
      <c r="H2" s="57"/>
      <c r="I2" s="71"/>
      <c r="J2" s="72"/>
      <c r="K2" s="73"/>
      <c r="L2" s="55"/>
    </row>
    <row r="3" spans="1:12" x14ac:dyDescent="0.3">
      <c r="F3" s="61"/>
      <c r="G3" s="58"/>
      <c r="H3" s="57"/>
      <c r="I3" s="71"/>
      <c r="J3" s="72"/>
      <c r="K3" s="73"/>
      <c r="L3" s="55"/>
    </row>
    <row r="4" spans="1:12" x14ac:dyDescent="0.3">
      <c r="F4" s="61"/>
      <c r="G4" s="58"/>
      <c r="H4" s="57"/>
      <c r="I4" s="71"/>
      <c r="J4" s="72"/>
      <c r="K4" s="73"/>
      <c r="L4" s="55"/>
    </row>
    <row r="5" spans="1:12" x14ac:dyDescent="0.3">
      <c r="F5" s="61"/>
      <c r="G5" s="58"/>
      <c r="H5" s="57"/>
      <c r="I5" s="71"/>
      <c r="J5" s="72"/>
      <c r="K5" s="73"/>
      <c r="L5" s="55"/>
    </row>
    <row r="6" spans="1:12" ht="71.25" customHeight="1" x14ac:dyDescent="0.3">
      <c r="A6" s="287" t="s">
        <v>512</v>
      </c>
      <c r="B6" s="288"/>
      <c r="C6" s="288"/>
      <c r="D6" s="288"/>
      <c r="E6" s="288"/>
      <c r="F6" s="61"/>
      <c r="G6" s="58"/>
      <c r="H6" s="57"/>
      <c r="I6" s="71"/>
      <c r="J6" s="72"/>
      <c r="K6" s="73"/>
      <c r="L6" s="55"/>
    </row>
    <row r="7" spans="1:12" x14ac:dyDescent="0.3">
      <c r="F7" s="61"/>
      <c r="G7" s="58"/>
      <c r="H7" s="57"/>
      <c r="I7" s="71"/>
      <c r="J7" s="72"/>
      <c r="K7" s="73"/>
      <c r="L7" s="55"/>
    </row>
    <row r="9" spans="1:12" ht="27.6" x14ac:dyDescent="0.3">
      <c r="A9" s="179" t="s">
        <v>493</v>
      </c>
      <c r="B9" s="17" t="s">
        <v>494</v>
      </c>
      <c r="C9" s="20" t="s">
        <v>647</v>
      </c>
      <c r="D9" s="21" t="s">
        <v>641</v>
      </c>
      <c r="E9" s="318" t="s">
        <v>646</v>
      </c>
    </row>
    <row r="10" spans="1:12" hidden="1" x14ac:dyDescent="0.3">
      <c r="A10" s="204" t="s">
        <v>141</v>
      </c>
      <c r="B10" s="203" t="s">
        <v>495</v>
      </c>
      <c r="C10" s="184"/>
      <c r="D10" s="184"/>
      <c r="E10" s="184"/>
    </row>
    <row r="11" spans="1:12" hidden="1" x14ac:dyDescent="0.3">
      <c r="A11" s="180" t="s">
        <v>515</v>
      </c>
      <c r="B11" s="181" t="s">
        <v>516</v>
      </c>
      <c r="C11" s="187">
        <f>'T1.1'!$G$95</f>
        <v>2776543.6159999995</v>
      </c>
      <c r="D11" s="187">
        <f>C11*0.25</f>
        <v>694135.90399999986</v>
      </c>
      <c r="E11" s="187">
        <f>C11+D11</f>
        <v>3470679.5199999996</v>
      </c>
    </row>
    <row r="12" spans="1:12" hidden="1" x14ac:dyDescent="0.3">
      <c r="A12" s="180" t="s">
        <v>517</v>
      </c>
      <c r="B12" s="181" t="s">
        <v>518</v>
      </c>
      <c r="C12" s="187">
        <f>'T1.2'!$G$93</f>
        <v>483514.98</v>
      </c>
      <c r="D12" s="187">
        <f>C12*0.25</f>
        <v>120878.745</v>
      </c>
      <c r="E12" s="187">
        <f>C12+D12</f>
        <v>604393.72499999998</v>
      </c>
    </row>
    <row r="13" spans="1:12" hidden="1" x14ac:dyDescent="0.3">
      <c r="A13" s="204" t="s">
        <v>141</v>
      </c>
      <c r="B13" s="188" t="s">
        <v>511</v>
      </c>
      <c r="C13" s="188">
        <f>SUM(C11:C12)</f>
        <v>3260058.5959999994</v>
      </c>
      <c r="D13" s="188">
        <f>SUM(D11:D12)</f>
        <v>815014.64899999986</v>
      </c>
      <c r="E13" s="188">
        <f>SUM(E11:E12)</f>
        <v>4075073.2449999996</v>
      </c>
    </row>
    <row r="14" spans="1:12" hidden="1" x14ac:dyDescent="0.3">
      <c r="A14" s="198"/>
      <c r="B14" s="199"/>
      <c r="C14" s="199"/>
      <c r="D14" s="199"/>
      <c r="E14" s="199"/>
    </row>
    <row r="15" spans="1:12" hidden="1" x14ac:dyDescent="0.3">
      <c r="A15" s="195"/>
      <c r="B15" s="196"/>
      <c r="C15" s="196"/>
      <c r="D15" s="196"/>
      <c r="E15" s="196"/>
    </row>
    <row r="16" spans="1:12" hidden="1" x14ac:dyDescent="0.3">
      <c r="A16" s="200"/>
      <c r="B16" s="201"/>
      <c r="C16" s="202"/>
      <c r="D16" s="197"/>
      <c r="E16" s="197"/>
    </row>
    <row r="17" spans="1:5" x14ac:dyDescent="0.3">
      <c r="A17" s="204" t="s">
        <v>142</v>
      </c>
      <c r="B17" s="203" t="s">
        <v>496</v>
      </c>
      <c r="C17" s="186"/>
      <c r="D17" s="184"/>
      <c r="E17" s="184"/>
    </row>
    <row r="18" spans="1:5" ht="15" customHeight="1" x14ac:dyDescent="0.3">
      <c r="A18" s="180" t="s">
        <v>144</v>
      </c>
      <c r="B18" s="181" t="s">
        <v>497</v>
      </c>
      <c r="C18" s="187"/>
      <c r="D18" s="187"/>
      <c r="E18" s="185"/>
    </row>
    <row r="19" spans="1:5" ht="41.1" customHeight="1" x14ac:dyDescent="0.3">
      <c r="A19" s="180" t="s">
        <v>498</v>
      </c>
      <c r="B19" s="181" t="s">
        <v>504</v>
      </c>
      <c r="C19" s="187"/>
      <c r="D19" s="187"/>
      <c r="E19" s="185"/>
    </row>
    <row r="20" spans="1:5" ht="41.1" customHeight="1" x14ac:dyDescent="0.3">
      <c r="A20" s="180" t="s">
        <v>499</v>
      </c>
      <c r="B20" s="181" t="s">
        <v>505</v>
      </c>
      <c r="C20" s="187"/>
      <c r="D20" s="187"/>
      <c r="E20" s="185"/>
    </row>
    <row r="21" spans="1:5" ht="41.1" customHeight="1" x14ac:dyDescent="0.3">
      <c r="A21" s="180" t="s">
        <v>500</v>
      </c>
      <c r="B21" s="181" t="s">
        <v>506</v>
      </c>
      <c r="C21" s="187"/>
      <c r="D21" s="187"/>
      <c r="E21" s="185"/>
    </row>
    <row r="22" spans="1:5" ht="41.1" customHeight="1" x14ac:dyDescent="0.3">
      <c r="A22" s="180" t="s">
        <v>501</v>
      </c>
      <c r="B22" s="181" t="s">
        <v>507</v>
      </c>
      <c r="C22" s="187"/>
      <c r="D22" s="187"/>
      <c r="E22" s="185"/>
    </row>
    <row r="23" spans="1:5" ht="41.1" customHeight="1" x14ac:dyDescent="0.3">
      <c r="A23" s="214" t="s">
        <v>502</v>
      </c>
      <c r="B23" s="215" t="s">
        <v>508</v>
      </c>
      <c r="C23" s="216"/>
      <c r="D23" s="216"/>
      <c r="E23" s="216"/>
    </row>
    <row r="24" spans="1:5" x14ac:dyDescent="0.3">
      <c r="A24" s="204" t="s">
        <v>142</v>
      </c>
      <c r="B24" s="188" t="s">
        <v>511</v>
      </c>
      <c r="C24" s="188">
        <f t="shared" ref="C24:D24" si="0">SUM(C18:C23)</f>
        <v>0</v>
      </c>
      <c r="D24" s="188">
        <f t="shared" si="0"/>
        <v>0</v>
      </c>
      <c r="E24" s="188">
        <f>SUM(E18:E23)</f>
        <v>0</v>
      </c>
    </row>
    <row r="25" spans="1:5" hidden="1" x14ac:dyDescent="0.3">
      <c r="A25" s="198"/>
      <c r="B25" s="199"/>
      <c r="C25" s="199"/>
      <c r="D25" s="199"/>
      <c r="E25" s="199"/>
    </row>
    <row r="26" spans="1:5" hidden="1" x14ac:dyDescent="0.3">
      <c r="A26" s="195"/>
      <c r="B26" s="196"/>
      <c r="C26" s="196"/>
      <c r="D26" s="196"/>
      <c r="E26" s="196"/>
    </row>
    <row r="27" spans="1:5" hidden="1" x14ac:dyDescent="0.3">
      <c r="A27" s="200"/>
      <c r="B27" s="201"/>
      <c r="C27" s="202"/>
      <c r="D27" s="197"/>
      <c r="E27" s="197"/>
    </row>
    <row r="28" spans="1:5" hidden="1" x14ac:dyDescent="0.3">
      <c r="A28" s="204" t="s">
        <v>509</v>
      </c>
      <c r="B28" s="203" t="s">
        <v>510</v>
      </c>
      <c r="C28" s="186"/>
      <c r="D28" s="184"/>
      <c r="E28" s="184"/>
    </row>
    <row r="29" spans="1:5" ht="15" hidden="1" customHeight="1" x14ac:dyDescent="0.3">
      <c r="A29" s="180" t="s">
        <v>335</v>
      </c>
      <c r="B29" s="181" t="s">
        <v>497</v>
      </c>
      <c r="C29" s="187">
        <f>'T3.1'!$G$69</f>
        <v>1898701.6300000001</v>
      </c>
      <c r="D29" s="187">
        <f>C29*0.25</f>
        <v>474675.40750000003</v>
      </c>
      <c r="E29" s="185">
        <f>C29+D29</f>
        <v>2373377.0375000001</v>
      </c>
    </row>
    <row r="30" spans="1:5" ht="27" hidden="1" customHeight="1" x14ac:dyDescent="0.3">
      <c r="A30" s="180" t="s">
        <v>336</v>
      </c>
      <c r="B30" s="181" t="s">
        <v>503</v>
      </c>
      <c r="C30" s="187">
        <f>'T3.2'!$G$152</f>
        <v>1059581.9859999998</v>
      </c>
      <c r="D30" s="187">
        <f>C30*0.25</f>
        <v>264895.49649999995</v>
      </c>
      <c r="E30" s="185">
        <f>C30+D30</f>
        <v>1324477.4824999997</v>
      </c>
    </row>
    <row r="31" spans="1:5" hidden="1" x14ac:dyDescent="0.3">
      <c r="A31" s="204" t="s">
        <v>509</v>
      </c>
      <c r="B31" s="188" t="s">
        <v>511</v>
      </c>
      <c r="C31" s="188">
        <f t="shared" ref="C31:D31" si="1">SUM(C29:C30)</f>
        <v>2958283.6159999999</v>
      </c>
      <c r="D31" s="188">
        <f t="shared" si="1"/>
        <v>739570.90399999998</v>
      </c>
      <c r="E31" s="188">
        <f>SUM(E29:E30)</f>
        <v>3697854.5199999996</v>
      </c>
    </row>
  </sheetData>
  <mergeCells count="1">
    <mergeCell ref="A6:E6"/>
  </mergeCells>
  <phoneticPr fontId="8" type="noConversion"/>
  <pageMargins left="0.98425196850393704" right="0.39370078740157483" top="1.1811023622047245" bottom="0.78740157480314965" header="0.39370078740157483" footer="0.39370078740157483"/>
  <pageSetup paperSize="9" scale="64" orientation="portrait" useFirstPageNumber="1" r:id="rId1"/>
  <headerFooter>
    <oddHeader>&amp;L&amp;G&amp;R&amp;G</oddHeader>
    <oddFooter xml:space="preserve">&amp;L&amp;"-,Bold"&amp;9&amp;A&amp;"-,Regular"     &amp;KFF0000 &amp;K000000GRAĐEVINSKI PROJEKT - PROJEKT POPRAVKA GRAĐEVINSKE KONSTRUKCIJE     GPP-13/21&amp;R&amp;"-,Bold"&amp;9&amp;P/&amp;N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C153C-1DFE-4DD1-B1E4-E1E58030000C}">
  <sheetPr codeName="Sheet4"/>
  <dimension ref="A12:Q72"/>
  <sheetViews>
    <sheetView view="pageBreakPreview" topLeftCell="A67" zoomScaleNormal="100" zoomScaleSheetLayoutView="100" zoomScalePageLayoutView="60" workbookViewId="0">
      <selection activeCell="A70" sqref="A70:F70"/>
    </sheetView>
  </sheetViews>
  <sheetFormatPr defaultRowHeight="14.4" x14ac:dyDescent="0.3"/>
  <cols>
    <col min="1" max="1" width="3.6640625" style="8" customWidth="1"/>
    <col min="2" max="2" width="3.88671875" style="9" customWidth="1"/>
    <col min="3" max="3" width="40.6640625" style="10" customWidth="1"/>
    <col min="4" max="4" width="8.109375" style="11" bestFit="1" customWidth="1"/>
    <col min="5" max="5" width="8.6640625" style="12" customWidth="1"/>
    <col min="6" max="6" width="13.109375" style="14" bestFit="1" customWidth="1"/>
    <col min="7" max="7" width="15" style="14" bestFit="1" customWidth="1"/>
    <col min="8" max="8" width="8.88671875" style="61" hidden="1" customWidth="1"/>
    <col min="9" max="9" width="11" style="58" hidden="1" customWidth="1"/>
    <col min="10" max="10" width="8.88671875" style="57" hidden="1" customWidth="1"/>
    <col min="11" max="11" width="8.88671875" style="71" hidden="1" customWidth="1"/>
    <col min="12" max="12" width="8.88671875" style="72" hidden="1" customWidth="1"/>
    <col min="13" max="13" width="8.88671875" style="73" hidden="1" customWidth="1"/>
    <col min="14" max="14" width="8.88671875" style="55" hidden="1" customWidth="1"/>
    <col min="15" max="15" width="12" hidden="1" customWidth="1"/>
    <col min="16" max="16" width="5" hidden="1" customWidth="1"/>
    <col min="17" max="17" width="11.33203125" hidden="1" customWidth="1"/>
    <col min="26" max="26" width="11.109375" bestFit="1" customWidth="1"/>
  </cols>
  <sheetData>
    <row r="12" spans="1:7" ht="71.25" customHeight="1" x14ac:dyDescent="0.3">
      <c r="A12" s="287" t="s">
        <v>324</v>
      </c>
      <c r="B12" s="288"/>
      <c r="C12" s="288"/>
      <c r="D12" s="288"/>
      <c r="E12" s="288"/>
      <c r="F12" s="288"/>
      <c r="G12" s="288"/>
    </row>
    <row r="16" spans="1:7" ht="50.25" customHeight="1" x14ac:dyDescent="0.3">
      <c r="A16" s="292" t="s">
        <v>325</v>
      </c>
      <c r="B16" s="289"/>
      <c r="C16" s="289"/>
      <c r="D16" s="289"/>
      <c r="E16" s="289"/>
      <c r="F16" s="289"/>
      <c r="G16" s="289"/>
    </row>
    <row r="45" spans="1:17" ht="41.4" x14ac:dyDescent="0.3">
      <c r="A45" s="15" t="s">
        <v>0</v>
      </c>
      <c r="B45" s="16"/>
      <c r="C45" s="17" t="s">
        <v>1</v>
      </c>
      <c r="D45" s="18" t="s">
        <v>2</v>
      </c>
      <c r="E45" s="19" t="s">
        <v>3</v>
      </c>
      <c r="F45" s="20" t="s">
        <v>4</v>
      </c>
      <c r="G45" s="20" t="s">
        <v>644</v>
      </c>
      <c r="H45" s="62" t="s">
        <v>110</v>
      </c>
      <c r="I45" s="59" t="s">
        <v>111</v>
      </c>
      <c r="J45" s="54"/>
      <c r="K45" s="64"/>
      <c r="L45" s="67"/>
      <c r="M45" s="69"/>
      <c r="N45" s="56"/>
      <c r="O45" s="52" t="s">
        <v>107</v>
      </c>
      <c r="P45" s="52" t="s">
        <v>108</v>
      </c>
      <c r="Q45" s="52" t="s">
        <v>109</v>
      </c>
    </row>
    <row r="46" spans="1:17" x14ac:dyDescent="0.3">
      <c r="A46" s="28" t="s">
        <v>6</v>
      </c>
      <c r="B46" s="29"/>
      <c r="C46" s="30" t="s">
        <v>7</v>
      </c>
      <c r="D46" s="31"/>
      <c r="E46" s="32"/>
      <c r="F46" s="33"/>
      <c r="G46" s="33"/>
    </row>
    <row r="47" spans="1:17" ht="331.2" x14ac:dyDescent="0.3">
      <c r="A47" s="1">
        <v>1</v>
      </c>
      <c r="B47" s="2" t="s">
        <v>8</v>
      </c>
      <c r="C47" s="3" t="s">
        <v>22</v>
      </c>
      <c r="D47" s="166" t="s">
        <v>10</v>
      </c>
      <c r="E47" s="167">
        <v>1</v>
      </c>
      <c r="F47" s="168">
        <v>0</v>
      </c>
      <c r="G47" s="168">
        <f t="shared" ref="G47:G53" si="0">$E47*$F47</f>
        <v>0</v>
      </c>
      <c r="H47" s="63">
        <v>16000</v>
      </c>
      <c r="I47" s="60">
        <v>16000</v>
      </c>
      <c r="J47" s="42"/>
      <c r="K47" s="65"/>
      <c r="L47" s="68"/>
      <c r="M47" s="70"/>
      <c r="N47" s="51"/>
      <c r="O47" s="52"/>
      <c r="P47" s="52"/>
      <c r="Q47" s="52"/>
    </row>
    <row r="48" spans="1:17" ht="220.8" x14ac:dyDescent="0.3">
      <c r="A48" s="1">
        <v>1</v>
      </c>
      <c r="B48" s="2" t="s">
        <v>11</v>
      </c>
      <c r="C48" s="3" t="s">
        <v>23</v>
      </c>
      <c r="D48" s="166" t="s">
        <v>10</v>
      </c>
      <c r="E48" s="167">
        <v>1</v>
      </c>
      <c r="F48" s="168">
        <v>0</v>
      </c>
      <c r="G48" s="168">
        <f t="shared" si="0"/>
        <v>0</v>
      </c>
      <c r="H48" s="63">
        <v>65000</v>
      </c>
      <c r="I48" s="60">
        <v>55000</v>
      </c>
      <c r="J48" s="42"/>
      <c r="K48" s="65"/>
      <c r="L48" s="68"/>
      <c r="M48" s="70"/>
      <c r="N48" s="51"/>
      <c r="O48" s="52"/>
      <c r="P48" s="52"/>
      <c r="Q48" s="52"/>
    </row>
    <row r="49" spans="1:17" ht="138" x14ac:dyDescent="0.3">
      <c r="A49" s="1">
        <v>1</v>
      </c>
      <c r="B49" s="2" t="s">
        <v>13</v>
      </c>
      <c r="C49" s="3" t="s">
        <v>24</v>
      </c>
      <c r="D49" s="166" t="s">
        <v>25</v>
      </c>
      <c r="E49" s="167">
        <f t="shared" ref="E49:E54" si="1">SUM(H49:N49)</f>
        <v>2858.4</v>
      </c>
      <c r="F49" s="168">
        <v>0</v>
      </c>
      <c r="G49" s="168">
        <f t="shared" si="0"/>
        <v>0</v>
      </c>
      <c r="H49" s="63">
        <f>165*11</f>
        <v>1815</v>
      </c>
      <c r="I49" s="60">
        <f>111*9.4</f>
        <v>1043.4000000000001</v>
      </c>
      <c r="J49" s="42"/>
      <c r="K49" s="65"/>
      <c r="L49" s="68"/>
      <c r="M49" s="70"/>
      <c r="N49" s="51"/>
      <c r="O49" s="52"/>
      <c r="P49" s="52"/>
      <c r="Q49" s="52"/>
    </row>
    <row r="50" spans="1:17" ht="179.4" x14ac:dyDescent="0.3">
      <c r="A50" s="1">
        <v>1</v>
      </c>
      <c r="B50" s="2" t="s">
        <v>26</v>
      </c>
      <c r="C50" s="3" t="s">
        <v>27</v>
      </c>
      <c r="D50" s="166" t="s">
        <v>18</v>
      </c>
      <c r="E50" s="167">
        <f t="shared" si="1"/>
        <v>323</v>
      </c>
      <c r="F50" s="168">
        <v>0</v>
      </c>
      <c r="G50" s="168">
        <f t="shared" si="0"/>
        <v>0</v>
      </c>
      <c r="H50" s="63">
        <v>188</v>
      </c>
      <c r="I50" s="60">
        <v>135</v>
      </c>
      <c r="J50" s="42"/>
      <c r="K50" s="65"/>
      <c r="L50" s="68"/>
      <c r="M50" s="70"/>
      <c r="N50" s="51"/>
      <c r="O50" s="52"/>
      <c r="P50" s="52"/>
      <c r="Q50" s="52"/>
    </row>
    <row r="51" spans="1:17" ht="165.6" x14ac:dyDescent="0.3">
      <c r="A51" s="1">
        <v>1</v>
      </c>
      <c r="B51" s="2" t="s">
        <v>28</v>
      </c>
      <c r="C51" s="3" t="s">
        <v>34</v>
      </c>
      <c r="D51" s="166" t="s">
        <v>29</v>
      </c>
      <c r="E51" s="167">
        <f t="shared" si="1"/>
        <v>1</v>
      </c>
      <c r="F51" s="168">
        <v>0</v>
      </c>
      <c r="G51" s="168">
        <f t="shared" si="0"/>
        <v>0</v>
      </c>
      <c r="H51" s="63">
        <v>1</v>
      </c>
      <c r="I51" s="60"/>
      <c r="J51" s="42"/>
      <c r="K51" s="65"/>
      <c r="L51" s="68"/>
      <c r="M51" s="70"/>
      <c r="N51" s="51"/>
      <c r="O51" s="52"/>
      <c r="P51" s="52"/>
      <c r="Q51" s="52"/>
    </row>
    <row r="52" spans="1:17" ht="234.6" x14ac:dyDescent="0.3">
      <c r="A52" s="1">
        <v>1</v>
      </c>
      <c r="B52" s="2" t="s">
        <v>30</v>
      </c>
      <c r="C52" s="3" t="s">
        <v>457</v>
      </c>
      <c r="D52" s="166" t="s">
        <v>25</v>
      </c>
      <c r="E52" s="167">
        <f t="shared" si="1"/>
        <v>801.33999999999992</v>
      </c>
      <c r="F52" s="168">
        <v>0</v>
      </c>
      <c r="G52" s="168">
        <f t="shared" si="0"/>
        <v>0</v>
      </c>
      <c r="H52" s="63">
        <f>329.25+12.44</f>
        <v>341.69</v>
      </c>
      <c r="I52" s="60">
        <v>459.65</v>
      </c>
      <c r="J52" s="42"/>
      <c r="K52" s="65"/>
      <c r="L52" s="68"/>
      <c r="M52" s="70"/>
      <c r="N52" s="51"/>
      <c r="O52" s="52"/>
      <c r="P52" s="52"/>
      <c r="Q52" s="52"/>
    </row>
    <row r="53" spans="1:17" ht="234.6" x14ac:dyDescent="0.3">
      <c r="A53" s="1">
        <v>1</v>
      </c>
      <c r="B53" s="2" t="s">
        <v>31</v>
      </c>
      <c r="C53" s="3" t="s">
        <v>45</v>
      </c>
      <c r="D53" s="166" t="s">
        <v>25</v>
      </c>
      <c r="E53" s="167">
        <f t="shared" si="1"/>
        <v>129.4</v>
      </c>
      <c r="F53" s="168">
        <v>0</v>
      </c>
      <c r="G53" s="168">
        <f t="shared" si="0"/>
        <v>0</v>
      </c>
      <c r="H53" s="63">
        <v>113.25</v>
      </c>
      <c r="I53" s="60">
        <v>16.149999999999999</v>
      </c>
      <c r="J53" s="42"/>
      <c r="K53" s="65"/>
      <c r="L53" s="68"/>
      <c r="M53" s="70"/>
      <c r="N53" s="51"/>
      <c r="O53" s="52"/>
      <c r="P53" s="52"/>
      <c r="Q53" s="52"/>
    </row>
    <row r="54" spans="1:17" ht="151.80000000000001" x14ac:dyDescent="0.3">
      <c r="A54" s="1">
        <v>1</v>
      </c>
      <c r="B54" s="2" t="s">
        <v>33</v>
      </c>
      <c r="C54" s="45" t="s">
        <v>475</v>
      </c>
      <c r="D54" s="166" t="s">
        <v>25</v>
      </c>
      <c r="E54" s="167">
        <f t="shared" si="1"/>
        <v>2858.4</v>
      </c>
      <c r="F54" s="168">
        <v>0</v>
      </c>
      <c r="G54" s="168">
        <f>$E54*$F54</f>
        <v>0</v>
      </c>
      <c r="H54" s="63">
        <v>1815</v>
      </c>
      <c r="I54" s="60">
        <v>1043.4000000000001</v>
      </c>
      <c r="J54" s="42"/>
      <c r="K54" s="65"/>
      <c r="L54" s="68"/>
      <c r="M54" s="70"/>
      <c r="N54" s="51"/>
      <c r="O54" s="52"/>
      <c r="P54" s="52"/>
      <c r="Q54" s="52"/>
    </row>
    <row r="55" spans="1:17" ht="69" customHeight="1" x14ac:dyDescent="0.3">
      <c r="A55" s="1">
        <v>1</v>
      </c>
      <c r="B55" s="2" t="s">
        <v>35</v>
      </c>
      <c r="C55" s="3" t="s">
        <v>59</v>
      </c>
      <c r="D55" s="166" t="s">
        <v>37</v>
      </c>
      <c r="E55" s="167">
        <f>SUM(H55:N55)*1.15</f>
        <v>53.51755</v>
      </c>
      <c r="F55" s="168">
        <v>0</v>
      </c>
      <c r="G55" s="168">
        <f>$E55*$F55</f>
        <v>0</v>
      </c>
      <c r="H55" s="63">
        <f>H52*0.05+H53*0.05</f>
        <v>22.747000000000003</v>
      </c>
      <c r="I55" s="60">
        <f>I52*0.05+I53*0.05</f>
        <v>23.790000000000003</v>
      </c>
      <c r="J55" s="42"/>
      <c r="K55" s="65"/>
      <c r="L55" s="68"/>
      <c r="M55" s="70"/>
      <c r="N55" s="51"/>
      <c r="O55" s="52"/>
      <c r="P55" s="52"/>
      <c r="Q55" s="52"/>
    </row>
    <row r="56" spans="1:17" ht="96.6" x14ac:dyDescent="0.3">
      <c r="A56" s="1">
        <v>1</v>
      </c>
      <c r="B56" s="2" t="s">
        <v>38</v>
      </c>
      <c r="C56" s="3" t="s">
        <v>596</v>
      </c>
      <c r="D56" s="166" t="s">
        <v>37</v>
      </c>
      <c r="E56" s="167">
        <f>SUM(H56:N56)*1.15</f>
        <v>53.51755</v>
      </c>
      <c r="F56" s="168">
        <v>0</v>
      </c>
      <c r="G56" s="168">
        <f>$E56*$F56</f>
        <v>0</v>
      </c>
      <c r="H56" s="63">
        <f>H52*0.05+H53*0.05</f>
        <v>22.747000000000003</v>
      </c>
      <c r="I56" s="60">
        <f>I52*0.05+I53*0.05</f>
        <v>23.790000000000003</v>
      </c>
      <c r="J56" s="42"/>
      <c r="K56" s="65"/>
      <c r="L56" s="68"/>
      <c r="M56" s="70"/>
      <c r="N56" s="51"/>
      <c r="O56" s="52"/>
      <c r="P56" s="52"/>
      <c r="Q56" s="52"/>
    </row>
    <row r="57" spans="1:17" x14ac:dyDescent="0.3">
      <c r="A57" s="28" t="s">
        <v>15</v>
      </c>
      <c r="B57" s="29"/>
      <c r="C57" s="46" t="s">
        <v>64</v>
      </c>
      <c r="D57" s="31"/>
      <c r="E57" s="32"/>
      <c r="F57" s="33"/>
      <c r="G57" s="33"/>
      <c r="H57" s="63"/>
      <c r="I57" s="60"/>
      <c r="J57" s="42"/>
      <c r="K57" s="65"/>
      <c r="L57" s="68"/>
      <c r="M57" s="70"/>
      <c r="N57" s="51"/>
      <c r="O57" s="52"/>
      <c r="P57" s="52"/>
      <c r="Q57" s="52"/>
    </row>
    <row r="58" spans="1:17" ht="234.6" x14ac:dyDescent="0.3">
      <c r="A58" s="1">
        <v>2</v>
      </c>
      <c r="B58" s="2" t="s">
        <v>8</v>
      </c>
      <c r="C58" s="45" t="s">
        <v>609</v>
      </c>
      <c r="D58" s="166" t="s">
        <v>29</v>
      </c>
      <c r="E58" s="167">
        <f>SUM(H58:N58)</f>
        <v>12</v>
      </c>
      <c r="F58" s="168">
        <v>0</v>
      </c>
      <c r="G58" s="168">
        <f t="shared" ref="G58:G59" si="2">$E58*$F58</f>
        <v>0</v>
      </c>
      <c r="H58" s="63">
        <v>6</v>
      </c>
      <c r="I58" s="60">
        <v>6</v>
      </c>
      <c r="J58" s="42"/>
      <c r="K58" s="65"/>
      <c r="L58" s="68"/>
      <c r="M58" s="70"/>
      <c r="N58" s="51"/>
      <c r="O58" s="52">
        <v>15</v>
      </c>
      <c r="P58" s="52">
        <v>80</v>
      </c>
      <c r="Q58" s="52">
        <v>120</v>
      </c>
    </row>
    <row r="59" spans="1:17" ht="207" x14ac:dyDescent="0.3">
      <c r="A59" s="1">
        <v>2</v>
      </c>
      <c r="B59" s="2" t="s">
        <v>11</v>
      </c>
      <c r="C59" s="3" t="s">
        <v>458</v>
      </c>
      <c r="D59" s="166" t="s">
        <v>25</v>
      </c>
      <c r="E59" s="167">
        <f>SUM(H59:N59)</f>
        <v>15.44</v>
      </c>
      <c r="F59" s="168">
        <v>0</v>
      </c>
      <c r="G59" s="168">
        <f t="shared" si="2"/>
        <v>0</v>
      </c>
      <c r="H59" s="63">
        <f>3+12.44</f>
        <v>15.44</v>
      </c>
      <c r="I59" s="60"/>
      <c r="J59" s="42"/>
      <c r="K59" s="65"/>
      <c r="L59" s="68"/>
      <c r="M59" s="70"/>
      <c r="N59" s="51"/>
      <c r="O59" s="52"/>
      <c r="P59" s="52">
        <v>70</v>
      </c>
      <c r="Q59" s="52">
        <v>180</v>
      </c>
    </row>
    <row r="60" spans="1:17" ht="303.60000000000002" x14ac:dyDescent="0.3">
      <c r="A60" s="1">
        <v>2</v>
      </c>
      <c r="B60" s="2" t="s">
        <v>13</v>
      </c>
      <c r="C60" s="3" t="s">
        <v>611</v>
      </c>
      <c r="D60" s="166" t="s">
        <v>25</v>
      </c>
      <c r="E60" s="167">
        <f>SUM(H60:N60)</f>
        <v>15.44</v>
      </c>
      <c r="F60" s="44">
        <v>0</v>
      </c>
      <c r="G60" s="168">
        <f>$E60*$F60</f>
        <v>0</v>
      </c>
      <c r="H60" s="63">
        <f>3+12.44</f>
        <v>15.44</v>
      </c>
      <c r="I60" s="60"/>
      <c r="J60" s="42"/>
      <c r="K60" s="65"/>
      <c r="L60" s="68"/>
      <c r="M60" s="70"/>
      <c r="N60" s="51"/>
      <c r="O60" s="52"/>
      <c r="P60" s="52"/>
      <c r="Q60" s="52"/>
    </row>
    <row r="61" spans="1:17" ht="124.2" x14ac:dyDescent="0.3">
      <c r="A61" s="1">
        <v>2</v>
      </c>
      <c r="B61" s="2" t="s">
        <v>26</v>
      </c>
      <c r="C61" s="45" t="s">
        <v>82</v>
      </c>
      <c r="D61" s="166" t="s">
        <v>10</v>
      </c>
      <c r="E61" s="167">
        <f>SUM(H61:N61)</f>
        <v>1</v>
      </c>
      <c r="F61" s="44">
        <v>0</v>
      </c>
      <c r="G61" s="168">
        <f t="shared" ref="G61" si="3">$E61*$F61</f>
        <v>0</v>
      </c>
      <c r="H61" s="63">
        <v>1</v>
      </c>
      <c r="I61" s="60"/>
      <c r="J61" s="42"/>
      <c r="K61" s="65"/>
      <c r="L61" s="68"/>
      <c r="M61" s="70"/>
      <c r="N61" s="51"/>
      <c r="O61" s="52">
        <f>15.55*3.55*1500</f>
        <v>82803.75</v>
      </c>
      <c r="P61" s="52"/>
      <c r="Q61" s="52">
        <v>18000</v>
      </c>
    </row>
    <row r="62" spans="1:17" x14ac:dyDescent="0.3">
      <c r="A62" s="28" t="s">
        <v>63</v>
      </c>
      <c r="B62" s="29"/>
      <c r="C62" s="46" t="s">
        <v>88</v>
      </c>
      <c r="D62" s="31"/>
      <c r="E62" s="32"/>
      <c r="F62" s="33"/>
      <c r="G62" s="33"/>
      <c r="H62" s="63"/>
      <c r="I62" s="60"/>
      <c r="J62" s="42"/>
      <c r="K62" s="65"/>
      <c r="L62" s="68"/>
      <c r="M62" s="70"/>
      <c r="N62" s="51"/>
      <c r="O62" s="52"/>
      <c r="P62" s="52"/>
      <c r="Q62" s="52"/>
    </row>
    <row r="63" spans="1:17" ht="207" x14ac:dyDescent="0.3">
      <c r="A63" s="1">
        <v>3</v>
      </c>
      <c r="B63" s="2" t="s">
        <v>8</v>
      </c>
      <c r="C63" s="3" t="s">
        <v>477</v>
      </c>
      <c r="D63" s="166" t="s">
        <v>25</v>
      </c>
      <c r="E63" s="167">
        <f>SUM(H63:N63)</f>
        <v>71.05</v>
      </c>
      <c r="F63" s="168">
        <v>0</v>
      </c>
      <c r="G63" s="168">
        <f>$E63*$F63</f>
        <v>0</v>
      </c>
      <c r="H63" s="63">
        <v>16.399999999999999</v>
      </c>
      <c r="I63" s="60">
        <v>54.65</v>
      </c>
      <c r="J63" s="42"/>
      <c r="K63" s="65"/>
      <c r="L63" s="68"/>
      <c r="M63" s="70"/>
      <c r="N63" s="51"/>
      <c r="O63" s="52"/>
      <c r="P63" s="52">
        <f>120*1.3</f>
        <v>156</v>
      </c>
      <c r="Q63" s="52">
        <v>210</v>
      </c>
    </row>
    <row r="64" spans="1:17" ht="193.2" x14ac:dyDescent="0.3">
      <c r="A64" s="1">
        <v>3</v>
      </c>
      <c r="B64" s="2" t="s">
        <v>11</v>
      </c>
      <c r="C64" s="3" t="s">
        <v>607</v>
      </c>
      <c r="D64" s="166" t="s">
        <v>25</v>
      </c>
      <c r="E64" s="167">
        <f>SUM(H64:N64)</f>
        <v>801.33999999999992</v>
      </c>
      <c r="F64" s="168">
        <v>0</v>
      </c>
      <c r="G64" s="168">
        <f>$E64*$F64</f>
        <v>0</v>
      </c>
      <c r="H64" s="63">
        <f>329.25+12.44</f>
        <v>341.69</v>
      </c>
      <c r="I64" s="60">
        <v>459.65</v>
      </c>
      <c r="J64" s="42"/>
      <c r="K64" s="65"/>
      <c r="L64" s="68"/>
      <c r="M64" s="70"/>
      <c r="N64" s="51"/>
      <c r="O64" s="52"/>
      <c r="P64" s="52">
        <f>110*1.3+25</f>
        <v>168</v>
      </c>
      <c r="Q64" s="52">
        <v>200</v>
      </c>
    </row>
    <row r="65" spans="1:17" x14ac:dyDescent="0.3">
      <c r="A65" s="28" t="s">
        <v>83</v>
      </c>
      <c r="B65" s="29"/>
      <c r="C65" s="46" t="s">
        <v>98</v>
      </c>
      <c r="D65" s="31"/>
      <c r="E65" s="32"/>
      <c r="F65" s="33"/>
      <c r="G65" s="33"/>
      <c r="H65" s="63"/>
      <c r="I65" s="60"/>
      <c r="J65" s="42"/>
      <c r="K65" s="65"/>
      <c r="L65" s="68"/>
      <c r="M65" s="70"/>
      <c r="N65" s="51"/>
      <c r="O65" s="52"/>
      <c r="P65" s="52"/>
      <c r="Q65" s="52"/>
    </row>
    <row r="66" spans="1:17" ht="138" x14ac:dyDescent="0.3">
      <c r="A66" s="1">
        <v>4</v>
      </c>
      <c r="B66" s="2" t="s">
        <v>8</v>
      </c>
      <c r="C66" s="45" t="s">
        <v>604</v>
      </c>
      <c r="D66" s="166" t="s">
        <v>25</v>
      </c>
      <c r="E66" s="167">
        <f>SUM(H66:N66)</f>
        <v>129.4</v>
      </c>
      <c r="F66" s="168">
        <v>0</v>
      </c>
      <c r="G66" s="168">
        <f t="shared" ref="G66:G67" si="4">$E66*$F66</f>
        <v>0</v>
      </c>
      <c r="H66" s="63">
        <v>113.25</v>
      </c>
      <c r="I66" s="60">
        <v>16.149999999999999</v>
      </c>
      <c r="J66" s="42"/>
      <c r="K66" s="65"/>
      <c r="L66" s="68"/>
      <c r="M66" s="70"/>
      <c r="N66" s="51"/>
      <c r="O66" s="52">
        <f>168+90</f>
        <v>258</v>
      </c>
      <c r="P66" s="52"/>
      <c r="Q66" s="52">
        <v>170</v>
      </c>
    </row>
    <row r="67" spans="1:17" ht="136.5" customHeight="1" x14ac:dyDescent="0.3">
      <c r="A67" s="1">
        <v>4</v>
      </c>
      <c r="B67" s="2" t="s">
        <v>11</v>
      </c>
      <c r="C67" s="45" t="s">
        <v>101</v>
      </c>
      <c r="D67" s="166" t="s">
        <v>25</v>
      </c>
      <c r="E67" s="167">
        <f>SUM(H67:N67)</f>
        <v>2858.4</v>
      </c>
      <c r="F67" s="44">
        <v>0</v>
      </c>
      <c r="G67" s="168">
        <f t="shared" si="4"/>
        <v>0</v>
      </c>
      <c r="H67" s="63">
        <v>1815</v>
      </c>
      <c r="I67" s="60">
        <v>1043.4000000000001</v>
      </c>
      <c r="J67" s="42"/>
      <c r="K67" s="65"/>
      <c r="L67" s="68"/>
      <c r="M67" s="70"/>
      <c r="N67" s="51"/>
      <c r="O67" s="52">
        <f>168+90</f>
        <v>258</v>
      </c>
      <c r="P67" s="52"/>
      <c r="Q67" s="52">
        <v>170</v>
      </c>
    </row>
    <row r="68" spans="1:17" x14ac:dyDescent="0.3">
      <c r="A68" s="28" t="s">
        <v>87</v>
      </c>
      <c r="B68" s="29"/>
      <c r="C68" s="46" t="s">
        <v>106</v>
      </c>
      <c r="D68" s="31"/>
      <c r="E68" s="32"/>
      <c r="F68" s="33"/>
      <c r="G68" s="33"/>
      <c r="H68" s="63"/>
      <c r="I68" s="60"/>
      <c r="J68" s="42"/>
      <c r="K68" s="65"/>
      <c r="L68" s="68"/>
      <c r="M68" s="70"/>
      <c r="N68" s="51"/>
      <c r="O68" s="52"/>
      <c r="P68" s="52"/>
      <c r="Q68" s="52"/>
    </row>
    <row r="69" spans="1:17" ht="179.4" x14ac:dyDescent="0.3">
      <c r="A69" s="1">
        <v>5</v>
      </c>
      <c r="B69" s="2" t="s">
        <v>8</v>
      </c>
      <c r="C69" s="3" t="s">
        <v>459</v>
      </c>
      <c r="D69" s="166" t="s">
        <v>25</v>
      </c>
      <c r="E69" s="167">
        <f>SUM(H69:N69)</f>
        <v>801.33999999999992</v>
      </c>
      <c r="F69" s="168">
        <v>0</v>
      </c>
      <c r="G69" s="168">
        <f>$E69*$F69</f>
        <v>0</v>
      </c>
      <c r="H69" s="63">
        <f>329.25+12.44</f>
        <v>341.69</v>
      </c>
      <c r="I69" s="60">
        <v>459.65</v>
      </c>
      <c r="J69" s="42"/>
      <c r="K69" s="65"/>
      <c r="L69" s="68"/>
      <c r="M69" s="70"/>
      <c r="N69" s="51"/>
      <c r="O69" s="52">
        <v>80</v>
      </c>
      <c r="P69" s="52"/>
      <c r="Q69" s="52">
        <v>60</v>
      </c>
    </row>
    <row r="70" spans="1:17" x14ac:dyDescent="0.3">
      <c r="A70" s="294" t="s">
        <v>645</v>
      </c>
      <c r="B70" s="294"/>
      <c r="C70" s="294"/>
      <c r="D70" s="294"/>
      <c r="E70" s="294"/>
      <c r="F70" s="294"/>
      <c r="G70" s="286">
        <f>SUM(G46:G69)</f>
        <v>0</v>
      </c>
      <c r="H70" s="63"/>
      <c r="I70" s="60"/>
      <c r="J70" s="42"/>
      <c r="K70" s="65"/>
      <c r="L70" s="68"/>
      <c r="M70" s="70"/>
      <c r="N70" s="51"/>
      <c r="O70" s="52"/>
      <c r="P70" s="52"/>
      <c r="Q70" s="52"/>
    </row>
    <row r="71" spans="1:17" x14ac:dyDescent="0.3">
      <c r="A71" s="295" t="s">
        <v>20</v>
      </c>
      <c r="B71" s="295"/>
      <c r="C71" s="295"/>
      <c r="D71" s="295"/>
      <c r="E71" s="295"/>
      <c r="F71" s="295"/>
      <c r="G71" s="286">
        <f>G70*F71</f>
        <v>0</v>
      </c>
      <c r="H71" s="63"/>
      <c r="I71" s="60"/>
      <c r="J71" s="42"/>
      <c r="K71" s="65"/>
      <c r="L71" s="68"/>
      <c r="M71" s="70"/>
      <c r="N71" s="51"/>
      <c r="O71" s="52"/>
      <c r="P71" s="52"/>
      <c r="Q71" s="52"/>
    </row>
    <row r="72" spans="1:17" x14ac:dyDescent="0.3">
      <c r="A72" s="293" t="s">
        <v>646</v>
      </c>
      <c r="B72" s="293"/>
      <c r="C72" s="293"/>
      <c r="D72" s="293"/>
      <c r="E72" s="293"/>
      <c r="F72" s="293"/>
      <c r="G72" s="286">
        <f>SUM(G70:G71)</f>
        <v>0</v>
      </c>
      <c r="H72" s="63"/>
      <c r="I72" s="60"/>
      <c r="J72" s="42"/>
      <c r="K72" s="65"/>
      <c r="L72" s="68"/>
      <c r="M72" s="70"/>
      <c r="N72" s="51"/>
      <c r="O72" s="52"/>
      <c r="P72" s="52"/>
      <c r="Q72" s="52"/>
    </row>
  </sheetData>
  <mergeCells count="5">
    <mergeCell ref="A72:F72"/>
    <mergeCell ref="A12:G12"/>
    <mergeCell ref="A16:G16"/>
    <mergeCell ref="A70:F70"/>
    <mergeCell ref="A71:F71"/>
  </mergeCells>
  <phoneticPr fontId="8" type="noConversion"/>
  <pageMargins left="0.98425196850393704" right="0.39370078740157483" top="1.1811023622047245" bottom="0.78740157480314965" header="0.39370078740157483" footer="0.39370078740157483"/>
  <pageSetup paperSize="9" scale="94" orientation="portrait" useFirstPageNumber="1" r:id="rId1"/>
  <headerFooter>
    <oddHeader>&amp;L&amp;G&amp;R&amp;G</oddHeader>
    <oddFooter xml:space="preserve">&amp;L&amp;"-,Bold"&amp;9TROŠKOVNIK &amp;A&amp;"-,Regular"     &amp;KFF0000 &amp;K000000GRAĐEVINSKI PROJEKT - PROJEKT POPRAVKA GRAĐEVINSKE KONSTRUKCIJE     GPP-13/21&amp;R&amp;"-,Bold"&amp;9&amp;P/&amp;N   </oddFooter>
  </headerFooter>
  <rowBreaks count="2" manualBreakCount="2">
    <brk id="44" max="16383" man="1"/>
    <brk id="56"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8B726-88C6-41DA-9D64-F7714AC2EADD}">
  <sheetPr codeName="Sheet5"/>
  <dimension ref="A12:Q86"/>
  <sheetViews>
    <sheetView view="pageBreakPreview" topLeftCell="A82" zoomScaleNormal="100" zoomScaleSheetLayoutView="100" zoomScalePageLayoutView="60" workbookViewId="0">
      <selection activeCell="A86" sqref="A86:F86"/>
    </sheetView>
  </sheetViews>
  <sheetFormatPr defaultRowHeight="14.4" x14ac:dyDescent="0.3"/>
  <cols>
    <col min="1" max="1" width="3.6640625" style="8" customWidth="1"/>
    <col min="2" max="2" width="3.6640625" style="9" customWidth="1"/>
    <col min="3" max="3" width="40.6640625" style="10" customWidth="1"/>
    <col min="4" max="4" width="7.6640625" style="11" customWidth="1"/>
    <col min="5" max="5" width="8.6640625" style="12" customWidth="1"/>
    <col min="6" max="6" width="12.6640625" style="14" customWidth="1"/>
    <col min="7" max="7" width="13.6640625" style="14" customWidth="1"/>
    <col min="8" max="8" width="8.88671875" style="61" hidden="1" customWidth="1"/>
    <col min="9" max="9" width="11" style="58" hidden="1" customWidth="1"/>
    <col min="10" max="10" width="8.88671875" style="57" hidden="1" customWidth="1"/>
    <col min="11" max="11" width="8.88671875" style="71" hidden="1" customWidth="1"/>
    <col min="12" max="12" width="8.88671875" style="72" hidden="1" customWidth="1"/>
    <col min="13" max="13" width="8.88671875" style="73" hidden="1" customWidth="1"/>
    <col min="14" max="14" width="8.88671875" style="55" hidden="1" customWidth="1"/>
    <col min="15" max="15" width="12" hidden="1" customWidth="1"/>
    <col min="16" max="16" width="5" hidden="1" customWidth="1"/>
    <col min="17" max="17" width="11.33203125" hidden="1" customWidth="1"/>
    <col min="18" max="18" width="9.109375" customWidth="1"/>
    <col min="26" max="26" width="11.109375" bestFit="1" customWidth="1"/>
  </cols>
  <sheetData>
    <row r="12" spans="1:7" ht="71.25" customHeight="1" x14ac:dyDescent="0.3">
      <c r="A12" s="287" t="s">
        <v>324</v>
      </c>
      <c r="B12" s="288"/>
      <c r="C12" s="288"/>
      <c r="D12" s="288"/>
      <c r="E12" s="288"/>
      <c r="F12" s="288"/>
      <c r="G12" s="288"/>
    </row>
    <row r="16" spans="1:7" ht="59.25" customHeight="1" x14ac:dyDescent="0.3">
      <c r="A16" s="292" t="s">
        <v>326</v>
      </c>
      <c r="B16" s="289"/>
      <c r="C16" s="289"/>
      <c r="D16" s="289"/>
      <c r="E16" s="289"/>
      <c r="F16" s="289"/>
      <c r="G16" s="289"/>
    </row>
    <row r="20" spans="1:7" ht="18" x14ac:dyDescent="0.3">
      <c r="A20" s="296" t="s">
        <v>327</v>
      </c>
      <c r="B20" s="296"/>
      <c r="C20" s="296"/>
      <c r="D20" s="296"/>
      <c r="E20" s="296"/>
      <c r="F20" s="296"/>
      <c r="G20" s="296"/>
    </row>
    <row r="44" spans="1:17" ht="27.6" x14ac:dyDescent="0.3">
      <c r="A44" s="15" t="s">
        <v>0</v>
      </c>
      <c r="B44" s="16"/>
      <c r="C44" s="17" t="s">
        <v>1</v>
      </c>
      <c r="D44" s="18" t="s">
        <v>2</v>
      </c>
      <c r="E44" s="19" t="s">
        <v>3</v>
      </c>
      <c r="F44" s="20" t="s">
        <v>4</v>
      </c>
      <c r="G44" s="20" t="s">
        <v>644</v>
      </c>
      <c r="H44" s="62"/>
      <c r="I44" s="59"/>
      <c r="J44" s="54" t="s">
        <v>112</v>
      </c>
      <c r="K44" s="64"/>
      <c r="L44" s="67"/>
      <c r="M44" s="69"/>
      <c r="N44" s="56"/>
      <c r="O44" s="52" t="s">
        <v>107</v>
      </c>
      <c r="P44" s="52" t="s">
        <v>108</v>
      </c>
      <c r="Q44" s="52" t="s">
        <v>109</v>
      </c>
    </row>
    <row r="45" spans="1:17" x14ac:dyDescent="0.3">
      <c r="A45" s="28" t="s">
        <v>6</v>
      </c>
      <c r="B45" s="29"/>
      <c r="C45" s="30" t="s">
        <v>7</v>
      </c>
      <c r="D45" s="31"/>
      <c r="E45" s="32"/>
      <c r="F45" s="33"/>
      <c r="G45" s="33"/>
    </row>
    <row r="46" spans="1:17" ht="331.2" x14ac:dyDescent="0.3">
      <c r="A46" s="1">
        <v>1</v>
      </c>
      <c r="B46" s="2" t="s">
        <v>8</v>
      </c>
      <c r="C46" s="3" t="s">
        <v>22</v>
      </c>
      <c r="D46" s="4" t="s">
        <v>10</v>
      </c>
      <c r="E46" s="5">
        <v>1</v>
      </c>
      <c r="F46" s="6">
        <v>0</v>
      </c>
      <c r="G46" s="6">
        <f t="shared" ref="G46:G56" si="0">$E46*$F46</f>
        <v>0</v>
      </c>
      <c r="H46" s="63"/>
      <c r="I46" s="60"/>
      <c r="J46" s="42">
        <v>6000</v>
      </c>
      <c r="K46" s="65"/>
      <c r="L46" s="68"/>
      <c r="M46" s="70"/>
      <c r="N46" s="51"/>
      <c r="O46" s="52"/>
      <c r="P46" s="52"/>
      <c r="Q46" s="52"/>
    </row>
    <row r="47" spans="1:17" ht="220.8" x14ac:dyDescent="0.3">
      <c r="A47" s="1">
        <v>1</v>
      </c>
      <c r="B47" s="2" t="s">
        <v>11</v>
      </c>
      <c r="C47" s="3" t="s">
        <v>23</v>
      </c>
      <c r="D47" s="4" t="s">
        <v>10</v>
      </c>
      <c r="E47" s="5">
        <v>1</v>
      </c>
      <c r="F47" s="6">
        <v>0</v>
      </c>
      <c r="G47" s="6">
        <f t="shared" si="0"/>
        <v>0</v>
      </c>
      <c r="H47" s="63"/>
      <c r="I47" s="60"/>
      <c r="J47" s="42">
        <v>20000</v>
      </c>
      <c r="K47" s="65"/>
      <c r="L47" s="68"/>
      <c r="M47" s="70"/>
      <c r="N47" s="51"/>
      <c r="O47" s="52"/>
      <c r="P47" s="52"/>
      <c r="Q47" s="52"/>
    </row>
    <row r="48" spans="1:17" ht="138" x14ac:dyDescent="0.3">
      <c r="A48" s="1">
        <v>1</v>
      </c>
      <c r="B48" s="2" t="s">
        <v>13</v>
      </c>
      <c r="C48" s="3" t="s">
        <v>24</v>
      </c>
      <c r="D48" s="4" t="s">
        <v>25</v>
      </c>
      <c r="E48" s="5">
        <f t="shared" ref="E48:E56" si="1">SUM(H48:N48)</f>
        <v>44</v>
      </c>
      <c r="F48" s="6">
        <v>0</v>
      </c>
      <c r="G48" s="6">
        <f t="shared" si="0"/>
        <v>0</v>
      </c>
      <c r="H48" s="63"/>
      <c r="I48" s="60"/>
      <c r="J48" s="42">
        <f>4*11</f>
        <v>44</v>
      </c>
      <c r="K48" s="65"/>
      <c r="L48" s="68"/>
      <c r="M48" s="70"/>
      <c r="N48" s="51"/>
      <c r="O48" s="52"/>
      <c r="P48" s="52"/>
      <c r="Q48" s="52"/>
    </row>
    <row r="49" spans="1:17" ht="165.6" x14ac:dyDescent="0.3">
      <c r="A49" s="1">
        <v>1</v>
      </c>
      <c r="B49" s="2" t="s">
        <v>26</v>
      </c>
      <c r="C49" s="3" t="s">
        <v>473</v>
      </c>
      <c r="D49" s="4" t="s">
        <v>29</v>
      </c>
      <c r="E49" s="5">
        <f t="shared" si="1"/>
        <v>2</v>
      </c>
      <c r="F49" s="6">
        <v>0</v>
      </c>
      <c r="G49" s="6">
        <f t="shared" si="0"/>
        <v>0</v>
      </c>
      <c r="H49" s="63"/>
      <c r="I49" s="60"/>
      <c r="J49" s="42">
        <v>2</v>
      </c>
      <c r="K49" s="65"/>
      <c r="L49" s="68"/>
      <c r="M49" s="70"/>
      <c r="N49" s="51"/>
      <c r="O49" s="52"/>
      <c r="P49" s="52"/>
      <c r="Q49" s="52"/>
    </row>
    <row r="50" spans="1:17" ht="159.75" customHeight="1" x14ac:dyDescent="0.3">
      <c r="A50" s="1">
        <v>1</v>
      </c>
      <c r="B50" s="2" t="s">
        <v>28</v>
      </c>
      <c r="C50" s="3" t="s">
        <v>456</v>
      </c>
      <c r="D50" s="4" t="s">
        <v>29</v>
      </c>
      <c r="E50" s="5">
        <f t="shared" si="1"/>
        <v>3</v>
      </c>
      <c r="F50" s="6">
        <v>0</v>
      </c>
      <c r="G50" s="6">
        <f t="shared" si="0"/>
        <v>0</v>
      </c>
      <c r="H50" s="63"/>
      <c r="I50" s="60"/>
      <c r="J50" s="42">
        <v>3</v>
      </c>
      <c r="K50" s="65"/>
      <c r="L50" s="68"/>
      <c r="M50" s="70"/>
      <c r="N50" s="51"/>
      <c r="O50" s="52"/>
      <c r="P50" s="52"/>
      <c r="Q50" s="52"/>
    </row>
    <row r="51" spans="1:17" ht="118.5" customHeight="1" x14ac:dyDescent="0.3">
      <c r="A51" s="1">
        <v>1</v>
      </c>
      <c r="B51" s="2" t="s">
        <v>30</v>
      </c>
      <c r="C51" s="3" t="s">
        <v>36</v>
      </c>
      <c r="D51" s="4" t="s">
        <v>37</v>
      </c>
      <c r="E51" s="5">
        <f t="shared" si="1"/>
        <v>0.54</v>
      </c>
      <c r="F51" s="6">
        <v>0</v>
      </c>
      <c r="G51" s="6">
        <f t="shared" si="0"/>
        <v>0</v>
      </c>
      <c r="H51" s="63"/>
      <c r="I51" s="60"/>
      <c r="J51" s="42">
        <v>0.54</v>
      </c>
      <c r="K51" s="65"/>
      <c r="L51" s="68"/>
      <c r="M51" s="70"/>
      <c r="N51" s="51"/>
      <c r="O51" s="52"/>
      <c r="P51" s="52"/>
      <c r="Q51" s="52"/>
    </row>
    <row r="52" spans="1:17" ht="138" customHeight="1" x14ac:dyDescent="0.3">
      <c r="A52" s="1">
        <v>1</v>
      </c>
      <c r="B52" s="2" t="s">
        <v>31</v>
      </c>
      <c r="C52" s="3" t="s">
        <v>41</v>
      </c>
      <c r="D52" s="4" t="s">
        <v>37</v>
      </c>
      <c r="E52" s="5">
        <f t="shared" si="1"/>
        <v>0.86199999999999999</v>
      </c>
      <c r="F52" s="6">
        <v>0</v>
      </c>
      <c r="G52" s="6">
        <f t="shared" si="0"/>
        <v>0</v>
      </c>
      <c r="H52" s="63"/>
      <c r="I52" s="60"/>
      <c r="J52" s="42">
        <f>0.304+0.282+0.276</f>
        <v>0.86199999999999999</v>
      </c>
      <c r="K52" s="65"/>
      <c r="L52" s="68"/>
      <c r="M52" s="70"/>
      <c r="N52" s="51"/>
      <c r="O52" s="52"/>
      <c r="P52" s="52"/>
      <c r="Q52" s="52"/>
    </row>
    <row r="53" spans="1:17" ht="234.6" x14ac:dyDescent="0.3">
      <c r="A53" s="1">
        <v>1</v>
      </c>
      <c r="B53" s="2" t="s">
        <v>33</v>
      </c>
      <c r="C53" s="3" t="s">
        <v>460</v>
      </c>
      <c r="D53" s="4" t="s">
        <v>25</v>
      </c>
      <c r="E53" s="5">
        <f t="shared" si="1"/>
        <v>191.12</v>
      </c>
      <c r="F53" s="6">
        <v>0</v>
      </c>
      <c r="G53" s="6">
        <f t="shared" si="0"/>
        <v>0</v>
      </c>
      <c r="H53" s="63"/>
      <c r="I53" s="60"/>
      <c r="J53" s="42">
        <f>47.23+23.1+42.12+6.3+43.35+23.1+1.76+2.08+2.08</f>
        <v>191.12</v>
      </c>
      <c r="K53" s="65"/>
      <c r="L53" s="68"/>
      <c r="M53" s="70"/>
      <c r="N53" s="51"/>
      <c r="O53" s="52"/>
      <c r="P53" s="52"/>
      <c r="Q53" s="52"/>
    </row>
    <row r="54" spans="1:17" ht="193.2" x14ac:dyDescent="0.3">
      <c r="A54" s="1">
        <v>1</v>
      </c>
      <c r="B54" s="2" t="s">
        <v>35</v>
      </c>
      <c r="C54" s="3" t="s">
        <v>47</v>
      </c>
      <c r="D54" s="4" t="s">
        <v>25</v>
      </c>
      <c r="E54" s="5">
        <f t="shared" si="1"/>
        <v>1.07</v>
      </c>
      <c r="F54" s="6">
        <v>0</v>
      </c>
      <c r="G54" s="6">
        <f t="shared" si="0"/>
        <v>0</v>
      </c>
      <c r="H54" s="63"/>
      <c r="I54" s="60"/>
      <c r="J54" s="42">
        <f>0.32+0.375+0.375</f>
        <v>1.07</v>
      </c>
      <c r="K54" s="65"/>
      <c r="L54" s="68"/>
      <c r="M54" s="70"/>
      <c r="N54" s="51"/>
      <c r="O54" s="52"/>
      <c r="P54" s="52"/>
      <c r="Q54" s="52"/>
    </row>
    <row r="55" spans="1:17" ht="124.2" x14ac:dyDescent="0.3">
      <c r="A55" s="1">
        <v>1</v>
      </c>
      <c r="B55" s="2" t="s">
        <v>38</v>
      </c>
      <c r="C55" s="3" t="s">
        <v>49</v>
      </c>
      <c r="D55" s="4" t="s">
        <v>37</v>
      </c>
      <c r="E55" s="5">
        <f t="shared" si="1"/>
        <v>1.7999999999999998</v>
      </c>
      <c r="F55" s="6">
        <v>0</v>
      </c>
      <c r="G55" s="6">
        <f t="shared" si="0"/>
        <v>0</v>
      </c>
      <c r="H55" s="63"/>
      <c r="I55" s="60"/>
      <c r="J55" s="42">
        <f>0.61+0.61+0.58</f>
        <v>1.7999999999999998</v>
      </c>
      <c r="K55" s="65"/>
      <c r="L55" s="68"/>
      <c r="M55" s="70"/>
      <c r="N55" s="51"/>
      <c r="O55" s="52"/>
      <c r="P55" s="52"/>
      <c r="Q55" s="52"/>
    </row>
    <row r="56" spans="1:17" ht="138" x14ac:dyDescent="0.3">
      <c r="A56" s="1">
        <v>1</v>
      </c>
      <c r="B56" s="2" t="s">
        <v>40</v>
      </c>
      <c r="C56" s="3" t="s">
        <v>474</v>
      </c>
      <c r="D56" s="4" t="s">
        <v>25</v>
      </c>
      <c r="E56" s="5">
        <f t="shared" si="1"/>
        <v>92.04</v>
      </c>
      <c r="F56" s="6">
        <v>0</v>
      </c>
      <c r="G56" s="6">
        <f t="shared" si="0"/>
        <v>0</v>
      </c>
      <c r="H56" s="63"/>
      <c r="I56" s="60"/>
      <c r="J56" s="42">
        <v>92.04</v>
      </c>
      <c r="K56" s="65"/>
      <c r="L56" s="68"/>
      <c r="M56" s="70"/>
      <c r="N56" s="51"/>
      <c r="O56" s="52"/>
      <c r="P56" s="52"/>
      <c r="Q56" s="52"/>
    </row>
    <row r="57" spans="1:17" ht="71.25" customHeight="1" x14ac:dyDescent="0.3">
      <c r="A57" s="1">
        <v>1</v>
      </c>
      <c r="B57" s="2" t="s">
        <v>42</v>
      </c>
      <c r="C57" s="3" t="s">
        <v>59</v>
      </c>
      <c r="D57" s="4" t="s">
        <v>37</v>
      </c>
      <c r="E57" s="5">
        <f>SUM(H57:N57)*1.15</f>
        <v>14.893190000000001</v>
      </c>
      <c r="F57" s="6">
        <v>0</v>
      </c>
      <c r="G57" s="6">
        <f>$E57*$F57</f>
        <v>0</v>
      </c>
      <c r="H57" s="63"/>
      <c r="I57" s="60"/>
      <c r="J57" s="42">
        <f>J51+J52+J53*0.05+J54*0.18+J55</f>
        <v>12.950600000000001</v>
      </c>
      <c r="K57" s="65"/>
      <c r="L57" s="68"/>
      <c r="M57" s="70"/>
      <c r="N57" s="51"/>
      <c r="O57" s="52"/>
      <c r="P57" s="52"/>
      <c r="Q57" s="52"/>
    </row>
    <row r="58" spans="1:17" ht="96.6" x14ac:dyDescent="0.3">
      <c r="A58" s="1">
        <v>1</v>
      </c>
      <c r="B58" s="2" t="s">
        <v>44</v>
      </c>
      <c r="C58" s="3" t="s">
        <v>596</v>
      </c>
      <c r="D58" s="4" t="s">
        <v>37</v>
      </c>
      <c r="E58" s="5">
        <f>SUM(H58:N58)*1.15</f>
        <v>14.893190000000001</v>
      </c>
      <c r="F58" s="6">
        <v>0</v>
      </c>
      <c r="G58" s="6">
        <f>$E58*$F58</f>
        <v>0</v>
      </c>
      <c r="H58" s="63"/>
      <c r="I58" s="60"/>
      <c r="J58" s="42">
        <f>J51+J52+J53*0.05+J54*0.18+J55</f>
        <v>12.950600000000001</v>
      </c>
      <c r="K58" s="65"/>
      <c r="L58" s="68"/>
      <c r="M58" s="70"/>
      <c r="N58" s="51"/>
      <c r="O58" s="52"/>
      <c r="P58" s="52"/>
      <c r="Q58" s="52"/>
    </row>
    <row r="59" spans="1:17" x14ac:dyDescent="0.3">
      <c r="A59" s="28" t="s">
        <v>15</v>
      </c>
      <c r="B59" s="29"/>
      <c r="C59" s="46" t="s">
        <v>64</v>
      </c>
      <c r="D59" s="31"/>
      <c r="E59" s="32"/>
      <c r="F59" s="33"/>
      <c r="G59" s="33"/>
      <c r="H59" s="63"/>
      <c r="I59" s="60"/>
      <c r="J59" s="42"/>
      <c r="K59" s="65"/>
      <c r="L59" s="68"/>
      <c r="M59" s="70"/>
      <c r="N59" s="51"/>
      <c r="O59" s="52"/>
      <c r="P59" s="52"/>
      <c r="Q59" s="52"/>
    </row>
    <row r="60" spans="1:17" ht="193.2" x14ac:dyDescent="0.3">
      <c r="A60" s="1">
        <v>2</v>
      </c>
      <c r="B60" s="2" t="s">
        <v>8</v>
      </c>
      <c r="C60" s="45" t="s">
        <v>442</v>
      </c>
      <c r="D60" s="4" t="s">
        <v>25</v>
      </c>
      <c r="E60" s="5">
        <f t="shared" ref="E60:E70" si="2">SUM(H60:N60)</f>
        <v>199.53</v>
      </c>
      <c r="F60" s="6">
        <v>0</v>
      </c>
      <c r="G60" s="6">
        <f t="shared" ref="G60:G70" si="3">$E60*$F60</f>
        <v>0</v>
      </c>
      <c r="H60" s="63"/>
      <c r="I60" s="60"/>
      <c r="J60" s="42">
        <f>92.04+92.04+15.45</f>
        <v>199.53</v>
      </c>
      <c r="K60" s="65"/>
      <c r="L60" s="68"/>
      <c r="M60" s="70"/>
      <c r="N60" s="51"/>
      <c r="O60" s="52">
        <f>170/J60</f>
        <v>0.85200220518217806</v>
      </c>
      <c r="P60" s="52">
        <v>75.5</v>
      </c>
      <c r="Q60" s="52">
        <v>250</v>
      </c>
    </row>
    <row r="61" spans="1:17" ht="207" x14ac:dyDescent="0.3">
      <c r="A61" s="1">
        <v>2</v>
      </c>
      <c r="B61" s="2" t="s">
        <v>11</v>
      </c>
      <c r="C61" s="3" t="s">
        <v>461</v>
      </c>
      <c r="D61" s="4" t="s">
        <v>25</v>
      </c>
      <c r="E61" s="5">
        <f t="shared" si="2"/>
        <v>147.60000000000002</v>
      </c>
      <c r="F61" s="6">
        <v>0</v>
      </c>
      <c r="G61" s="6">
        <f t="shared" si="3"/>
        <v>0</v>
      </c>
      <c r="H61" s="63"/>
      <c r="I61" s="60"/>
      <c r="J61" s="42">
        <f>48.4+52.28+46.92</f>
        <v>147.60000000000002</v>
      </c>
      <c r="K61" s="65"/>
      <c r="L61" s="68"/>
      <c r="M61" s="70"/>
      <c r="N61" s="51"/>
      <c r="O61" s="52"/>
      <c r="P61" s="52">
        <v>70</v>
      </c>
      <c r="Q61" s="52">
        <v>180</v>
      </c>
    </row>
    <row r="62" spans="1:17" ht="234.6" x14ac:dyDescent="0.3">
      <c r="A62" s="1">
        <v>2</v>
      </c>
      <c r="B62" s="2" t="s">
        <v>13</v>
      </c>
      <c r="C62" s="3" t="s">
        <v>67</v>
      </c>
      <c r="D62" s="4" t="s">
        <v>25</v>
      </c>
      <c r="E62" s="5">
        <f t="shared" si="2"/>
        <v>52.5</v>
      </c>
      <c r="F62" s="6">
        <v>0</v>
      </c>
      <c r="G62" s="6">
        <f t="shared" si="3"/>
        <v>0</v>
      </c>
      <c r="H62" s="63"/>
      <c r="I62" s="60"/>
      <c r="J62" s="42">
        <f>23.1+23.1+6.3</f>
        <v>52.5</v>
      </c>
      <c r="K62" s="65"/>
      <c r="L62" s="68"/>
      <c r="M62" s="70"/>
      <c r="N62" s="51"/>
      <c r="O62" s="52"/>
      <c r="P62" s="52">
        <v>70</v>
      </c>
      <c r="Q62" s="52">
        <v>220</v>
      </c>
    </row>
    <row r="63" spans="1:17" ht="276" x14ac:dyDescent="0.3">
      <c r="A63" s="1">
        <v>2</v>
      </c>
      <c r="B63" s="2" t="s">
        <v>26</v>
      </c>
      <c r="C63" s="3" t="s">
        <v>613</v>
      </c>
      <c r="D63" s="4" t="s">
        <v>29</v>
      </c>
      <c r="E63" s="5">
        <f t="shared" si="2"/>
        <v>90</v>
      </c>
      <c r="F63" s="44">
        <v>0</v>
      </c>
      <c r="G63" s="6">
        <f>$E63*$F63</f>
        <v>0</v>
      </c>
      <c r="H63" s="63"/>
      <c r="I63" s="60"/>
      <c r="J63" s="42">
        <v>90</v>
      </c>
      <c r="K63" s="65"/>
      <c r="L63" s="68"/>
      <c r="M63" s="70"/>
      <c r="N63" s="51"/>
      <c r="O63" s="52"/>
      <c r="P63" s="52"/>
      <c r="Q63" s="52"/>
    </row>
    <row r="64" spans="1:17" ht="331.2" x14ac:dyDescent="0.3">
      <c r="A64" s="1">
        <v>2</v>
      </c>
      <c r="B64" s="2" t="s">
        <v>28</v>
      </c>
      <c r="C64" s="3" t="s">
        <v>612</v>
      </c>
      <c r="D64" s="4" t="s">
        <v>25</v>
      </c>
      <c r="E64" s="5">
        <f t="shared" si="2"/>
        <v>147.60000000000002</v>
      </c>
      <c r="F64" s="44">
        <v>0</v>
      </c>
      <c r="G64" s="6">
        <f>$E64*$F64</f>
        <v>0</v>
      </c>
      <c r="H64" s="63"/>
      <c r="I64" s="60"/>
      <c r="J64" s="42">
        <f>48.4+52.28+46.92</f>
        <v>147.60000000000002</v>
      </c>
      <c r="K64" s="65"/>
      <c r="L64" s="68"/>
      <c r="M64" s="70"/>
      <c r="N64" s="51"/>
      <c r="O64" s="52"/>
      <c r="P64" s="52"/>
      <c r="Q64" s="52"/>
    </row>
    <row r="65" spans="1:17" ht="220.8" x14ac:dyDescent="0.3">
      <c r="A65" s="1">
        <v>2</v>
      </c>
      <c r="B65" s="2" t="s">
        <v>30</v>
      </c>
      <c r="C65" s="3" t="s">
        <v>615</v>
      </c>
      <c r="D65" s="4" t="s">
        <v>18</v>
      </c>
      <c r="E65" s="5">
        <f t="shared" si="2"/>
        <v>170</v>
      </c>
      <c r="F65" s="44">
        <v>0</v>
      </c>
      <c r="G65" s="6">
        <f t="shared" si="3"/>
        <v>0</v>
      </c>
      <c r="H65" s="63"/>
      <c r="I65" s="60"/>
      <c r="J65" s="42">
        <f>74.8+74.8+20.4</f>
        <v>170</v>
      </c>
      <c r="K65" s="65"/>
      <c r="L65" s="68"/>
      <c r="M65" s="70"/>
      <c r="N65" s="51"/>
      <c r="O65" s="52"/>
      <c r="P65" s="52"/>
      <c r="Q65" s="52"/>
    </row>
    <row r="66" spans="1:17" ht="179.4" x14ac:dyDescent="0.3">
      <c r="A66" s="1">
        <v>2</v>
      </c>
      <c r="B66" s="2" t="s">
        <v>31</v>
      </c>
      <c r="C66" s="3" t="s">
        <v>600</v>
      </c>
      <c r="D66" s="4" t="s">
        <v>29</v>
      </c>
      <c r="E66" s="5">
        <f t="shared" si="2"/>
        <v>556</v>
      </c>
      <c r="F66" s="44">
        <v>0</v>
      </c>
      <c r="G66" s="6">
        <f t="shared" si="3"/>
        <v>0</v>
      </c>
      <c r="H66" s="63"/>
      <c r="I66" s="60"/>
      <c r="J66" s="42">
        <v>556</v>
      </c>
      <c r="K66" s="65"/>
      <c r="L66" s="68"/>
      <c r="M66" s="70"/>
      <c r="N66" s="51"/>
      <c r="O66" s="52"/>
      <c r="P66" s="52"/>
      <c r="Q66" s="52"/>
    </row>
    <row r="67" spans="1:17" ht="124.2" x14ac:dyDescent="0.3">
      <c r="A67" s="1">
        <v>2</v>
      </c>
      <c r="B67" s="2" t="s">
        <v>33</v>
      </c>
      <c r="C67" s="3" t="s">
        <v>449</v>
      </c>
      <c r="D67" s="163" t="s">
        <v>18</v>
      </c>
      <c r="E67" s="164">
        <f t="shared" ref="E67" si="4">SUM(H67:N67)</f>
        <v>27.2</v>
      </c>
      <c r="F67" s="165">
        <v>0</v>
      </c>
      <c r="G67" s="165">
        <f t="shared" si="3"/>
        <v>0</v>
      </c>
      <c r="H67" s="63"/>
      <c r="I67" s="60"/>
      <c r="J67" s="42">
        <v>27.2</v>
      </c>
      <c r="K67" s="162"/>
      <c r="L67" s="68"/>
      <c r="M67" s="70"/>
      <c r="N67" s="122"/>
      <c r="O67" s="52"/>
      <c r="P67" s="52"/>
      <c r="Q67" s="52"/>
    </row>
    <row r="68" spans="1:17" ht="193.2" x14ac:dyDescent="0.3">
      <c r="A68" s="1">
        <v>2</v>
      </c>
      <c r="B68" s="2" t="s">
        <v>35</v>
      </c>
      <c r="C68" s="3" t="s">
        <v>462</v>
      </c>
      <c r="D68" s="4" t="s">
        <v>71</v>
      </c>
      <c r="E68" s="5">
        <f t="shared" si="2"/>
        <v>606.49</v>
      </c>
      <c r="F68" s="6">
        <v>0</v>
      </c>
      <c r="G68" s="6">
        <f t="shared" si="3"/>
        <v>0</v>
      </c>
      <c r="H68" s="63"/>
      <c r="I68" s="60"/>
      <c r="J68" s="42">
        <v>606.49</v>
      </c>
      <c r="K68" s="65"/>
      <c r="L68" s="68"/>
      <c r="M68" s="70"/>
      <c r="N68" s="51"/>
      <c r="O68" s="52">
        <f>5*1.3</f>
        <v>6.5</v>
      </c>
      <c r="P68" s="52">
        <f>14*1.3</f>
        <v>18.2</v>
      </c>
      <c r="Q68" s="52">
        <v>12</v>
      </c>
    </row>
    <row r="69" spans="1:17" ht="110.25" customHeight="1" x14ac:dyDescent="0.3">
      <c r="A69" s="1">
        <v>2</v>
      </c>
      <c r="B69" s="2" t="s">
        <v>38</v>
      </c>
      <c r="C69" s="3" t="s">
        <v>73</v>
      </c>
      <c r="D69" s="4" t="s">
        <v>25</v>
      </c>
      <c r="E69" s="5">
        <f t="shared" si="2"/>
        <v>29.119999999999997</v>
      </c>
      <c r="F69" s="6">
        <v>0</v>
      </c>
      <c r="G69" s="6">
        <f t="shared" si="3"/>
        <v>0</v>
      </c>
      <c r="H69" s="63"/>
      <c r="I69" s="60"/>
      <c r="J69" s="42">
        <f>6.72+11.2+11.2</f>
        <v>29.119999999999997</v>
      </c>
      <c r="K69" s="65"/>
      <c r="L69" s="68"/>
      <c r="M69" s="70"/>
      <c r="N69" s="51"/>
      <c r="O69" s="52">
        <f>20*1.3</f>
        <v>26</v>
      </c>
      <c r="P69" s="52">
        <f>130*1.3</f>
        <v>169</v>
      </c>
      <c r="Q69" s="52">
        <v>250</v>
      </c>
    </row>
    <row r="70" spans="1:17" ht="146.25" customHeight="1" x14ac:dyDescent="0.3">
      <c r="A70" s="1">
        <v>2</v>
      </c>
      <c r="B70" s="2" t="s">
        <v>40</v>
      </c>
      <c r="C70" s="3" t="s">
        <v>75</v>
      </c>
      <c r="D70" s="4" t="s">
        <v>37</v>
      </c>
      <c r="E70" s="5">
        <f t="shared" si="2"/>
        <v>2.9120000000000004</v>
      </c>
      <c r="F70" s="6">
        <v>0</v>
      </c>
      <c r="G70" s="6">
        <f t="shared" si="3"/>
        <v>0</v>
      </c>
      <c r="H70" s="63"/>
      <c r="I70" s="60"/>
      <c r="J70" s="42">
        <f>0.672+1.12+1.12</f>
        <v>2.9120000000000004</v>
      </c>
      <c r="K70" s="65"/>
      <c r="L70" s="68"/>
      <c r="M70" s="70"/>
      <c r="N70" s="51"/>
      <c r="O70" s="52">
        <f>570*1.3</f>
        <v>741</v>
      </c>
      <c r="P70" s="52">
        <f>200*1.3</f>
        <v>260</v>
      </c>
      <c r="Q70" s="52">
        <v>1800</v>
      </c>
    </row>
    <row r="71" spans="1:17" x14ac:dyDescent="0.3">
      <c r="A71" s="28" t="s">
        <v>63</v>
      </c>
      <c r="B71" s="29"/>
      <c r="C71" s="46" t="s">
        <v>84</v>
      </c>
      <c r="D71" s="31"/>
      <c r="E71" s="32"/>
      <c r="F71" s="33"/>
      <c r="G71" s="33"/>
      <c r="H71" s="63"/>
      <c r="I71" s="60"/>
      <c r="J71" s="42"/>
      <c r="K71" s="65"/>
      <c r="L71" s="68"/>
      <c r="M71" s="70"/>
      <c r="N71" s="51"/>
      <c r="O71" s="52"/>
      <c r="P71" s="52"/>
      <c r="Q71" s="52"/>
    </row>
    <row r="72" spans="1:17" ht="151.80000000000001" x14ac:dyDescent="0.3">
      <c r="A72" s="1">
        <v>3</v>
      </c>
      <c r="B72" s="2" t="s">
        <v>8</v>
      </c>
      <c r="C72" s="3" t="s">
        <v>476</v>
      </c>
      <c r="D72" s="4" t="s">
        <v>25</v>
      </c>
      <c r="E72" s="5">
        <f>SUM(H72:N72)</f>
        <v>15</v>
      </c>
      <c r="F72" s="6">
        <v>0</v>
      </c>
      <c r="G72" s="6">
        <f>$E72*$F72</f>
        <v>0</v>
      </c>
      <c r="H72" s="63"/>
      <c r="I72" s="60"/>
      <c r="J72" s="42">
        <f>5.1+5.1+4.8</f>
        <v>15</v>
      </c>
      <c r="K72" s="65"/>
      <c r="L72" s="68"/>
      <c r="M72" s="70"/>
      <c r="N72" s="51"/>
      <c r="O72" s="52">
        <f>100*1.3+200*1.3+2*1.3+50*1.3</f>
        <v>457.6</v>
      </c>
      <c r="P72" s="52"/>
      <c r="Q72" s="52">
        <v>90</v>
      </c>
    </row>
    <row r="73" spans="1:17" x14ac:dyDescent="0.3">
      <c r="A73" s="28" t="s">
        <v>83</v>
      </c>
      <c r="B73" s="29"/>
      <c r="C73" s="46" t="s">
        <v>88</v>
      </c>
      <c r="D73" s="31"/>
      <c r="E73" s="32"/>
      <c r="F73" s="33"/>
      <c r="G73" s="33"/>
      <c r="H73" s="63"/>
      <c r="I73" s="60"/>
      <c r="J73" s="42"/>
      <c r="K73" s="65"/>
      <c r="L73" s="68"/>
      <c r="M73" s="70"/>
      <c r="N73" s="51"/>
      <c r="O73" s="52"/>
      <c r="P73" s="52"/>
      <c r="Q73" s="52"/>
    </row>
    <row r="74" spans="1:17" ht="179.4" x14ac:dyDescent="0.3">
      <c r="A74" s="1">
        <v>4</v>
      </c>
      <c r="B74" s="2" t="s">
        <v>8</v>
      </c>
      <c r="C74" s="3" t="s">
        <v>605</v>
      </c>
      <c r="D74" s="4" t="s">
        <v>25</v>
      </c>
      <c r="E74" s="5">
        <f>SUM(H74:N74)</f>
        <v>146.57</v>
      </c>
      <c r="F74" s="6">
        <v>0</v>
      </c>
      <c r="G74" s="6">
        <f>$E74*$F74</f>
        <v>0</v>
      </c>
      <c r="H74" s="63"/>
      <c r="I74" s="60"/>
      <c r="J74" s="42">
        <f>46.18+50.34+50.05</f>
        <v>146.57</v>
      </c>
      <c r="K74" s="65"/>
      <c r="L74" s="68"/>
      <c r="M74" s="70"/>
      <c r="N74" s="51"/>
      <c r="O74" s="52"/>
      <c r="P74" s="52">
        <f>110*1.3+25</f>
        <v>168</v>
      </c>
      <c r="Q74" s="52">
        <v>200</v>
      </c>
    </row>
    <row r="75" spans="1:17" ht="165.6" x14ac:dyDescent="0.3">
      <c r="A75" s="1">
        <v>4</v>
      </c>
      <c r="B75" s="2" t="s">
        <v>11</v>
      </c>
      <c r="C75" s="3" t="s">
        <v>90</v>
      </c>
      <c r="D75" s="4" t="s">
        <v>25</v>
      </c>
      <c r="E75" s="5">
        <f>SUM(H75:N75)</f>
        <v>199.52</v>
      </c>
      <c r="F75" s="6">
        <v>0</v>
      </c>
      <c r="G75" s="6">
        <f>$E75*$F75</f>
        <v>0</v>
      </c>
      <c r="H75" s="63"/>
      <c r="I75" s="60"/>
      <c r="J75" s="42">
        <f>92.04+92.04+15.44</f>
        <v>199.52</v>
      </c>
      <c r="K75" s="65"/>
      <c r="L75" s="68"/>
      <c r="M75" s="70"/>
      <c r="N75" s="51"/>
      <c r="O75" s="52"/>
      <c r="P75" s="52">
        <f>330*1.3</f>
        <v>429</v>
      </c>
      <c r="Q75" s="52">
        <v>380</v>
      </c>
    </row>
    <row r="76" spans="1:17" ht="151.80000000000001" x14ac:dyDescent="0.3">
      <c r="A76" s="1">
        <v>4</v>
      </c>
      <c r="B76" s="2" t="s">
        <v>13</v>
      </c>
      <c r="C76" s="3" t="s">
        <v>452</v>
      </c>
      <c r="D76" s="4" t="s">
        <v>25</v>
      </c>
      <c r="E76" s="5">
        <f>SUM(H76:N76)</f>
        <v>8.6199999999999992</v>
      </c>
      <c r="F76" s="6">
        <v>0</v>
      </c>
      <c r="G76" s="6">
        <f>$E76*$F76</f>
        <v>0</v>
      </c>
      <c r="H76" s="63"/>
      <c r="I76" s="60"/>
      <c r="J76" s="42">
        <f>3.04+2.76+2.82</f>
        <v>8.6199999999999992</v>
      </c>
      <c r="K76" s="65"/>
      <c r="L76" s="68"/>
      <c r="M76" s="70"/>
      <c r="N76" s="51"/>
      <c r="O76" s="52">
        <f>170*1.3</f>
        <v>221</v>
      </c>
      <c r="P76" s="52"/>
      <c r="Q76" s="52">
        <v>200</v>
      </c>
    </row>
    <row r="77" spans="1:17" x14ac:dyDescent="0.3">
      <c r="A77" s="28" t="s">
        <v>87</v>
      </c>
      <c r="B77" s="29"/>
      <c r="C77" s="46" t="s">
        <v>98</v>
      </c>
      <c r="D77" s="31"/>
      <c r="E77" s="32"/>
      <c r="F77" s="33"/>
      <c r="G77" s="33"/>
      <c r="H77" s="63"/>
      <c r="I77" s="60"/>
      <c r="J77" s="42"/>
      <c r="K77" s="65"/>
      <c r="L77" s="68"/>
      <c r="M77" s="70"/>
      <c r="N77" s="51"/>
      <c r="O77" s="52"/>
      <c r="P77" s="52"/>
      <c r="Q77" s="52"/>
    </row>
    <row r="78" spans="1:17" ht="207" x14ac:dyDescent="0.3">
      <c r="A78" s="1">
        <v>5</v>
      </c>
      <c r="B78" s="2" t="s">
        <v>8</v>
      </c>
      <c r="C78" s="45" t="s">
        <v>453</v>
      </c>
      <c r="D78" s="4" t="s">
        <v>25</v>
      </c>
      <c r="E78" s="5">
        <f>SUM(H78:N78)</f>
        <v>21.119999999999997</v>
      </c>
      <c r="F78" s="6">
        <v>0</v>
      </c>
      <c r="G78" s="6">
        <f>$E78*$F78</f>
        <v>0</v>
      </c>
      <c r="H78" s="63"/>
      <c r="I78" s="60"/>
      <c r="J78" s="42">
        <f>5.76+7.68+7.68</f>
        <v>21.119999999999997</v>
      </c>
      <c r="K78" s="65"/>
      <c r="L78" s="68"/>
      <c r="M78" s="70"/>
      <c r="N78" s="51"/>
      <c r="O78" s="52">
        <f>258+50+250</f>
        <v>558</v>
      </c>
      <c r="P78" s="52"/>
      <c r="Q78" s="52">
        <v>360</v>
      </c>
    </row>
    <row r="79" spans="1:17" ht="138" x14ac:dyDescent="0.3">
      <c r="A79" s="1">
        <v>5</v>
      </c>
      <c r="B79" s="2" t="s">
        <v>11</v>
      </c>
      <c r="C79" s="45" t="s">
        <v>608</v>
      </c>
      <c r="D79" s="4" t="s">
        <v>25</v>
      </c>
      <c r="E79" s="5">
        <f>SUM(H79:N79)</f>
        <v>21.12</v>
      </c>
      <c r="F79" s="6">
        <v>0</v>
      </c>
      <c r="G79" s="6">
        <f t="shared" ref="G79" si="5">$E79*$F79</f>
        <v>0</v>
      </c>
      <c r="H79" s="63"/>
      <c r="I79" s="60"/>
      <c r="J79" s="42">
        <v>21.12</v>
      </c>
      <c r="K79" s="65"/>
      <c r="L79" s="68"/>
      <c r="M79" s="70"/>
      <c r="N79" s="51"/>
      <c r="O79" s="52">
        <f>168+90</f>
        <v>258</v>
      </c>
      <c r="P79" s="52"/>
      <c r="Q79" s="52">
        <v>170</v>
      </c>
    </row>
    <row r="80" spans="1:17" x14ac:dyDescent="0.3">
      <c r="A80" s="28" t="s">
        <v>94</v>
      </c>
      <c r="B80" s="29"/>
      <c r="C80" s="46" t="s">
        <v>103</v>
      </c>
      <c r="D80" s="31"/>
      <c r="E80" s="32"/>
      <c r="F80" s="33"/>
      <c r="G80" s="33"/>
      <c r="H80" s="63"/>
      <c r="I80" s="60"/>
      <c r="J80" s="42"/>
      <c r="K80" s="65"/>
      <c r="L80" s="68"/>
      <c r="M80" s="70"/>
      <c r="N80" s="51"/>
      <c r="O80" s="52"/>
      <c r="P80" s="52"/>
      <c r="Q80" s="52"/>
    </row>
    <row r="81" spans="1:17" ht="82.8" x14ac:dyDescent="0.3">
      <c r="A81" s="1">
        <v>6</v>
      </c>
      <c r="B81" s="2" t="s">
        <v>8</v>
      </c>
      <c r="C81" s="45" t="s">
        <v>104</v>
      </c>
      <c r="D81" s="48" t="s">
        <v>25</v>
      </c>
      <c r="E81" s="49">
        <f>SUM(H81:N81)</f>
        <v>15.82</v>
      </c>
      <c r="F81" s="50">
        <v>0</v>
      </c>
      <c r="G81" s="50">
        <f>$E81*$F81</f>
        <v>0</v>
      </c>
      <c r="H81" s="63"/>
      <c r="I81" s="60"/>
      <c r="J81" s="42">
        <f>5.51+5.51+4.8</f>
        <v>15.82</v>
      </c>
      <c r="K81" s="65"/>
      <c r="L81" s="68"/>
      <c r="M81" s="70"/>
      <c r="N81" s="51"/>
      <c r="O81" s="53"/>
      <c r="P81" s="53"/>
      <c r="Q81" s="53"/>
    </row>
    <row r="82" spans="1:17" x14ac:dyDescent="0.3">
      <c r="A82" s="28" t="s">
        <v>97</v>
      </c>
      <c r="B82" s="29"/>
      <c r="C82" s="46" t="s">
        <v>106</v>
      </c>
      <c r="D82" s="31"/>
      <c r="E82" s="32"/>
      <c r="F82" s="33"/>
      <c r="G82" s="33"/>
      <c r="H82" s="63"/>
      <c r="I82" s="60"/>
      <c r="J82" s="42"/>
      <c r="K82" s="65"/>
      <c r="L82" s="68"/>
      <c r="M82" s="70"/>
      <c r="N82" s="51"/>
      <c r="O82" s="52"/>
      <c r="P82" s="52"/>
      <c r="Q82" s="52"/>
    </row>
    <row r="83" spans="1:17" ht="179.4" x14ac:dyDescent="0.3">
      <c r="A83" s="1">
        <v>7</v>
      </c>
      <c r="B83" s="2" t="s">
        <v>8</v>
      </c>
      <c r="C83" s="3" t="s">
        <v>463</v>
      </c>
      <c r="D83" s="4" t="s">
        <v>25</v>
      </c>
      <c r="E83" s="5">
        <f>SUM(H83:N83)</f>
        <v>146.57</v>
      </c>
      <c r="F83" s="6">
        <v>0</v>
      </c>
      <c r="G83" s="6">
        <f>$E83*$F83</f>
        <v>0</v>
      </c>
      <c r="H83" s="63"/>
      <c r="I83" s="60"/>
      <c r="J83" s="42">
        <f>46.18+50.34+50.05</f>
        <v>146.57</v>
      </c>
      <c r="K83" s="65"/>
      <c r="L83" s="68"/>
      <c r="M83" s="70"/>
      <c r="N83" s="51"/>
      <c r="O83" s="52">
        <v>80</v>
      </c>
      <c r="P83" s="52"/>
      <c r="Q83" s="52">
        <v>60</v>
      </c>
    </row>
    <row r="84" spans="1:17" x14ac:dyDescent="0.3">
      <c r="A84" s="294" t="s">
        <v>645</v>
      </c>
      <c r="B84" s="294"/>
      <c r="C84" s="294"/>
      <c r="D84" s="294"/>
      <c r="E84" s="294"/>
      <c r="F84" s="294"/>
      <c r="G84" s="213">
        <f>SUM(G45:G83)</f>
        <v>0</v>
      </c>
      <c r="H84" s="63"/>
      <c r="I84" s="60"/>
      <c r="J84" s="42"/>
      <c r="K84" s="65"/>
      <c r="L84" s="68"/>
      <c r="M84" s="70"/>
      <c r="N84" s="51"/>
      <c r="O84" s="52"/>
      <c r="P84" s="52"/>
      <c r="Q84" s="52"/>
    </row>
    <row r="85" spans="1:17" x14ac:dyDescent="0.3">
      <c r="A85" s="295" t="s">
        <v>20</v>
      </c>
      <c r="B85" s="295"/>
      <c r="C85" s="295"/>
      <c r="D85" s="295"/>
      <c r="E85" s="295"/>
      <c r="F85" s="295"/>
      <c r="G85" s="213">
        <f>G84*F85</f>
        <v>0</v>
      </c>
      <c r="H85" s="63"/>
      <c r="I85" s="60"/>
      <c r="J85" s="42"/>
      <c r="K85" s="65"/>
      <c r="L85" s="68"/>
      <c r="M85" s="70"/>
      <c r="N85" s="51"/>
      <c r="O85" s="52"/>
      <c r="P85" s="52"/>
      <c r="Q85" s="52"/>
    </row>
    <row r="86" spans="1:17" x14ac:dyDescent="0.3">
      <c r="A86" s="293" t="s">
        <v>646</v>
      </c>
      <c r="B86" s="293"/>
      <c r="C86" s="293"/>
      <c r="D86" s="293"/>
      <c r="E86" s="293"/>
      <c r="F86" s="293"/>
      <c r="G86" s="213">
        <f>SUM(G84:G85)</f>
        <v>0</v>
      </c>
      <c r="H86" s="63"/>
      <c r="I86" s="60"/>
      <c r="J86" s="42"/>
      <c r="K86" s="65"/>
      <c r="L86" s="68"/>
      <c r="M86" s="70"/>
      <c r="N86" s="51"/>
      <c r="O86" s="52"/>
      <c r="P86" s="52"/>
      <c r="Q86" s="52"/>
    </row>
  </sheetData>
  <mergeCells count="6">
    <mergeCell ref="A86:F86"/>
    <mergeCell ref="A12:G12"/>
    <mergeCell ref="A16:G16"/>
    <mergeCell ref="A20:G20"/>
    <mergeCell ref="A84:F84"/>
    <mergeCell ref="A85:F85"/>
  </mergeCells>
  <phoneticPr fontId="8" type="noConversion"/>
  <pageMargins left="0.98425196850393704" right="0.39370078740157483" top="1.1811023622047245" bottom="0.78740157480314965" header="0.39370078740157483" footer="0.39370078740157483"/>
  <pageSetup paperSize="9" scale="96" fitToWidth="0" orientation="portrait" useFirstPageNumber="1" r:id="rId1"/>
  <headerFooter>
    <oddHeader>&amp;L&amp;G&amp;R&amp;G</oddHeader>
    <oddFooter xml:space="preserve">&amp;L&amp;"-,Bold"&amp;9TROŠKOVNIK &amp;A&amp;"-,Regular"     &amp;KFF0000 &amp;K000000GRAĐEVINSKI PROJEKT - PROJEKT POPRAVKA GRAĐEVINSKE KONSTRUKCIJE     GPP-13/21&amp;R&amp;"-,Bold"&amp;9&amp;P/&amp;N   </oddFooter>
  </headerFooter>
  <rowBreaks count="1" manualBreakCount="1">
    <brk id="79"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48A47-137B-4B84-A33B-8A120A0D6D90}">
  <sheetPr codeName="Sheet6"/>
  <dimension ref="A1:Q92"/>
  <sheetViews>
    <sheetView view="pageBreakPreview" topLeftCell="A88" zoomScaleNormal="100" zoomScaleSheetLayoutView="100" zoomScalePageLayoutView="60" workbookViewId="0">
      <selection activeCell="A92" sqref="A92:F92"/>
    </sheetView>
  </sheetViews>
  <sheetFormatPr defaultRowHeight="14.4" x14ac:dyDescent="0.3"/>
  <cols>
    <col min="1" max="1" width="3.6640625" style="8" customWidth="1"/>
    <col min="2" max="2" width="3.6640625" style="9" customWidth="1"/>
    <col min="3" max="3" width="40.6640625" style="10" customWidth="1"/>
    <col min="4" max="4" width="7.6640625" style="11" customWidth="1"/>
    <col min="5" max="5" width="8.6640625" style="12" customWidth="1"/>
    <col min="6" max="6" width="12.6640625" style="14" customWidth="1"/>
    <col min="7" max="7" width="13.6640625" style="14" customWidth="1"/>
    <col min="8" max="8" width="8.88671875" style="61" hidden="1" customWidth="1"/>
    <col min="9" max="9" width="11" style="58" hidden="1" customWidth="1"/>
    <col min="10" max="10" width="8.88671875" style="57" hidden="1" customWidth="1"/>
    <col min="11" max="11" width="8.88671875" style="96" hidden="1" customWidth="1"/>
    <col min="12" max="12" width="8.88671875" style="72" hidden="1" customWidth="1"/>
    <col min="13" max="13" width="8.88671875" style="73" hidden="1" customWidth="1"/>
    <col min="14" max="14" width="8.88671875" style="55" hidden="1" customWidth="1"/>
    <col min="15" max="15" width="12" hidden="1" customWidth="1"/>
    <col min="16" max="16" width="5" hidden="1" customWidth="1"/>
    <col min="17" max="17" width="11.33203125" hidden="1" customWidth="1"/>
    <col min="26" max="26" width="11.109375" bestFit="1" customWidth="1"/>
  </cols>
  <sheetData>
    <row r="1" spans="1:11" x14ac:dyDescent="0.3">
      <c r="K1" s="71"/>
    </row>
    <row r="2" spans="1:11" x14ac:dyDescent="0.3">
      <c r="K2" s="71"/>
    </row>
    <row r="3" spans="1:11" x14ac:dyDescent="0.3">
      <c r="K3" s="71"/>
    </row>
    <row r="4" spans="1:11" x14ac:dyDescent="0.3">
      <c r="K4" s="71"/>
    </row>
    <row r="5" spans="1:11" x14ac:dyDescent="0.3">
      <c r="K5" s="71"/>
    </row>
    <row r="6" spans="1:11" x14ac:dyDescent="0.3">
      <c r="K6" s="71"/>
    </row>
    <row r="7" spans="1:11" x14ac:dyDescent="0.3">
      <c r="K7" s="71"/>
    </row>
    <row r="8" spans="1:11" x14ac:dyDescent="0.3">
      <c r="K8" s="71"/>
    </row>
    <row r="9" spans="1:11" x14ac:dyDescent="0.3">
      <c r="K9" s="71"/>
    </row>
    <row r="10" spans="1:11" x14ac:dyDescent="0.3">
      <c r="K10" s="71"/>
    </row>
    <row r="11" spans="1:11" x14ac:dyDescent="0.3">
      <c r="K11" s="71"/>
    </row>
    <row r="12" spans="1:11" ht="71.25" customHeight="1" x14ac:dyDescent="0.3">
      <c r="A12" s="287" t="s">
        <v>324</v>
      </c>
      <c r="B12" s="288"/>
      <c r="C12" s="288"/>
      <c r="D12" s="288"/>
      <c r="E12" s="288"/>
      <c r="F12" s="288"/>
      <c r="G12" s="288"/>
      <c r="K12" s="71"/>
    </row>
    <row r="13" spans="1:11" x14ac:dyDescent="0.3">
      <c r="K13" s="71"/>
    </row>
    <row r="14" spans="1:11" x14ac:dyDescent="0.3">
      <c r="K14" s="71"/>
    </row>
    <row r="15" spans="1:11" x14ac:dyDescent="0.3">
      <c r="K15" s="71"/>
    </row>
    <row r="16" spans="1:11" ht="59.25" customHeight="1" x14ac:dyDescent="0.3">
      <c r="A16" s="292" t="s">
        <v>326</v>
      </c>
      <c r="B16" s="289"/>
      <c r="C16" s="289"/>
      <c r="D16" s="289"/>
      <c r="E16" s="289"/>
      <c r="F16" s="289"/>
      <c r="G16" s="289"/>
      <c r="K16" s="71"/>
    </row>
    <row r="17" spans="1:11" x14ac:dyDescent="0.3">
      <c r="K17" s="71"/>
    </row>
    <row r="18" spans="1:11" x14ac:dyDescent="0.3">
      <c r="K18" s="71"/>
    </row>
    <row r="19" spans="1:11" x14ac:dyDescent="0.3">
      <c r="K19" s="71"/>
    </row>
    <row r="20" spans="1:11" ht="18" x14ac:dyDescent="0.3">
      <c r="A20" s="296" t="s">
        <v>328</v>
      </c>
      <c r="B20" s="296"/>
      <c r="C20" s="296"/>
      <c r="D20" s="296"/>
      <c r="E20" s="296"/>
      <c r="F20" s="296"/>
      <c r="G20" s="296"/>
      <c r="K20" s="71"/>
    </row>
    <row r="21" spans="1:11" x14ac:dyDescent="0.3">
      <c r="K21" s="71"/>
    </row>
    <row r="22" spans="1:11" x14ac:dyDescent="0.3">
      <c r="K22" s="71"/>
    </row>
    <row r="23" spans="1:11" x14ac:dyDescent="0.3">
      <c r="K23" s="71"/>
    </row>
    <row r="24" spans="1:11" x14ac:dyDescent="0.3">
      <c r="K24" s="71"/>
    </row>
    <row r="25" spans="1:11" x14ac:dyDescent="0.3">
      <c r="K25" s="71"/>
    </row>
    <row r="26" spans="1:11" x14ac:dyDescent="0.3">
      <c r="K26" s="71"/>
    </row>
    <row r="27" spans="1:11" x14ac:dyDescent="0.3">
      <c r="K27" s="71"/>
    </row>
    <row r="28" spans="1:11" x14ac:dyDescent="0.3">
      <c r="K28" s="71"/>
    </row>
    <row r="29" spans="1:11" x14ac:dyDescent="0.3">
      <c r="K29" s="71"/>
    </row>
    <row r="30" spans="1:11" x14ac:dyDescent="0.3">
      <c r="K30" s="71"/>
    </row>
    <row r="31" spans="1:11" x14ac:dyDescent="0.3">
      <c r="K31" s="71"/>
    </row>
    <row r="32" spans="1:11" x14ac:dyDescent="0.3">
      <c r="K32" s="71"/>
    </row>
    <row r="33" spans="1:17" x14ac:dyDescent="0.3">
      <c r="K33" s="71"/>
    </row>
    <row r="34" spans="1:17" x14ac:dyDescent="0.3">
      <c r="K34" s="71"/>
    </row>
    <row r="35" spans="1:17" x14ac:dyDescent="0.3">
      <c r="K35" s="71"/>
    </row>
    <row r="36" spans="1:17" x14ac:dyDescent="0.3">
      <c r="K36" s="71"/>
    </row>
    <row r="37" spans="1:17" x14ac:dyDescent="0.3">
      <c r="K37" s="71"/>
    </row>
    <row r="38" spans="1:17" x14ac:dyDescent="0.3">
      <c r="K38" s="71"/>
    </row>
    <row r="43" spans="1:17" ht="27.6" x14ac:dyDescent="0.3">
      <c r="A43" s="15" t="s">
        <v>0</v>
      </c>
      <c r="B43" s="16"/>
      <c r="C43" s="17" t="s">
        <v>1</v>
      </c>
      <c r="D43" s="18" t="s">
        <v>2</v>
      </c>
      <c r="E43" s="19" t="s">
        <v>3</v>
      </c>
      <c r="F43" s="20" t="s">
        <v>4</v>
      </c>
      <c r="G43" s="20" t="s">
        <v>644</v>
      </c>
      <c r="H43" s="62"/>
      <c r="I43" s="59"/>
      <c r="J43" s="54"/>
      <c r="K43" s="97" t="s">
        <v>114</v>
      </c>
      <c r="L43" s="67"/>
      <c r="M43" s="69"/>
      <c r="N43" s="56"/>
      <c r="O43" s="52" t="s">
        <v>107</v>
      </c>
      <c r="P43" s="52" t="s">
        <v>108</v>
      </c>
      <c r="Q43" s="52" t="s">
        <v>109</v>
      </c>
    </row>
    <row r="44" spans="1:17" x14ac:dyDescent="0.3">
      <c r="A44" s="28" t="s">
        <v>6</v>
      </c>
      <c r="B44" s="29"/>
      <c r="C44" s="46" t="s">
        <v>118</v>
      </c>
      <c r="D44" s="31"/>
      <c r="E44" s="32"/>
      <c r="F44" s="33"/>
      <c r="G44" s="33"/>
      <c r="H44" s="63"/>
      <c r="I44" s="60"/>
      <c r="J44" s="42"/>
      <c r="K44" s="98"/>
      <c r="L44" s="68"/>
      <c r="M44" s="70"/>
      <c r="N44" s="51"/>
      <c r="O44" s="52"/>
      <c r="P44" s="52"/>
      <c r="Q44" s="52"/>
    </row>
    <row r="45" spans="1:17" s="52" customFormat="1" ht="98.25" customHeight="1" x14ac:dyDescent="0.3">
      <c r="A45" s="1">
        <v>1</v>
      </c>
      <c r="B45" s="2" t="s">
        <v>8</v>
      </c>
      <c r="C45" s="80" t="s">
        <v>221</v>
      </c>
      <c r="D45" s="4" t="s">
        <v>10</v>
      </c>
      <c r="E45" s="5">
        <f t="shared" ref="E45:E55" si="0">SUM(H45:N45)</f>
        <v>1</v>
      </c>
      <c r="F45" s="6">
        <v>0</v>
      </c>
      <c r="G45" s="6">
        <f t="shared" ref="G45:G56" si="1">E45*F45</f>
        <v>0</v>
      </c>
      <c r="H45" s="81"/>
      <c r="I45" s="40"/>
      <c r="J45" s="41"/>
      <c r="K45" s="98">
        <v>1</v>
      </c>
      <c r="L45" s="43"/>
      <c r="N45" s="53"/>
      <c r="P45" s="14"/>
    </row>
    <row r="46" spans="1:17" s="52" customFormat="1" ht="121.5" customHeight="1" x14ac:dyDescent="0.3">
      <c r="A46" s="1">
        <v>1</v>
      </c>
      <c r="B46" s="2" t="s">
        <v>11</v>
      </c>
      <c r="C46" s="80" t="s">
        <v>220</v>
      </c>
      <c r="D46" s="4" t="s">
        <v>29</v>
      </c>
      <c r="E46" s="5">
        <f t="shared" si="0"/>
        <v>3</v>
      </c>
      <c r="F46" s="6">
        <v>0</v>
      </c>
      <c r="G46" s="6">
        <f t="shared" si="1"/>
        <v>0</v>
      </c>
      <c r="H46" s="81"/>
      <c r="I46" s="40"/>
      <c r="J46" s="41"/>
      <c r="K46" s="98">
        <v>3</v>
      </c>
      <c r="L46" s="43"/>
      <c r="N46" s="53"/>
      <c r="P46" s="14"/>
    </row>
    <row r="47" spans="1:17" s="52" customFormat="1" ht="125.25" customHeight="1" x14ac:dyDescent="0.3">
      <c r="A47" s="1">
        <v>1</v>
      </c>
      <c r="B47" s="2" t="s">
        <v>13</v>
      </c>
      <c r="C47" s="80" t="s">
        <v>219</v>
      </c>
      <c r="D47" s="4" t="s">
        <v>29</v>
      </c>
      <c r="E47" s="5">
        <f t="shared" si="0"/>
        <v>2</v>
      </c>
      <c r="F47" s="6">
        <v>0</v>
      </c>
      <c r="G47" s="6">
        <f t="shared" si="1"/>
        <v>0</v>
      </c>
      <c r="H47" s="81"/>
      <c r="I47" s="40"/>
      <c r="J47" s="41"/>
      <c r="K47" s="98">
        <v>2</v>
      </c>
      <c r="L47" s="43"/>
      <c r="N47" s="53"/>
      <c r="P47" s="14"/>
    </row>
    <row r="48" spans="1:17" s="52" customFormat="1" ht="124.2" x14ac:dyDescent="0.3">
      <c r="A48" s="1">
        <v>1</v>
      </c>
      <c r="B48" s="2" t="s">
        <v>26</v>
      </c>
      <c r="C48" s="80" t="s">
        <v>217</v>
      </c>
      <c r="D48" s="4" t="s">
        <v>29</v>
      </c>
      <c r="E48" s="5">
        <f t="shared" si="0"/>
        <v>1</v>
      </c>
      <c r="F48" s="6">
        <v>0</v>
      </c>
      <c r="G48" s="6">
        <f t="shared" si="1"/>
        <v>0</v>
      </c>
      <c r="H48" s="81"/>
      <c r="I48" s="40"/>
      <c r="J48" s="41"/>
      <c r="K48" s="98">
        <v>1</v>
      </c>
      <c r="L48" s="43"/>
      <c r="N48" s="53"/>
      <c r="P48" s="14"/>
    </row>
    <row r="49" spans="1:16" s="52" customFormat="1" ht="107.25" customHeight="1" x14ac:dyDescent="0.3">
      <c r="A49" s="1">
        <v>1</v>
      </c>
      <c r="B49" s="2" t="s">
        <v>28</v>
      </c>
      <c r="C49" s="80" t="s">
        <v>215</v>
      </c>
      <c r="D49" s="4" t="s">
        <v>18</v>
      </c>
      <c r="E49" s="5">
        <f t="shared" si="0"/>
        <v>8</v>
      </c>
      <c r="F49" s="6">
        <v>0</v>
      </c>
      <c r="G49" s="6">
        <f t="shared" si="1"/>
        <v>0</v>
      </c>
      <c r="H49" s="81"/>
      <c r="I49" s="40"/>
      <c r="J49" s="41"/>
      <c r="K49" s="98">
        <v>8</v>
      </c>
      <c r="L49" s="43"/>
      <c r="N49" s="53"/>
      <c r="P49" s="14"/>
    </row>
    <row r="50" spans="1:16" s="52" customFormat="1" ht="98.25" customHeight="1" x14ac:dyDescent="0.3">
      <c r="A50" s="1">
        <v>1</v>
      </c>
      <c r="B50" s="2" t="s">
        <v>30</v>
      </c>
      <c r="C50" s="80" t="s">
        <v>213</v>
      </c>
      <c r="D50" s="4" t="s">
        <v>29</v>
      </c>
      <c r="E50" s="5">
        <f t="shared" si="0"/>
        <v>1</v>
      </c>
      <c r="F50" s="6">
        <v>0</v>
      </c>
      <c r="G50" s="6">
        <f t="shared" si="1"/>
        <v>0</v>
      </c>
      <c r="H50" s="81"/>
      <c r="I50" s="40"/>
      <c r="J50" s="41"/>
      <c r="K50" s="98">
        <v>1</v>
      </c>
      <c r="L50" s="43"/>
      <c r="N50" s="53"/>
      <c r="P50" s="14"/>
    </row>
    <row r="51" spans="1:16" s="52" customFormat="1" ht="121.5" customHeight="1" x14ac:dyDescent="0.3">
      <c r="A51" s="1">
        <v>1</v>
      </c>
      <c r="B51" s="2" t="s">
        <v>31</v>
      </c>
      <c r="C51" s="80" t="s">
        <v>211</v>
      </c>
      <c r="D51" s="4" t="s">
        <v>29</v>
      </c>
      <c r="E51" s="5">
        <f t="shared" si="0"/>
        <v>3</v>
      </c>
      <c r="F51" s="6">
        <v>0</v>
      </c>
      <c r="G51" s="6">
        <f t="shared" si="1"/>
        <v>0</v>
      </c>
      <c r="H51" s="81"/>
      <c r="I51" s="40"/>
      <c r="J51" s="41"/>
      <c r="K51" s="98">
        <v>3</v>
      </c>
      <c r="L51" s="43"/>
      <c r="N51" s="53"/>
      <c r="P51" s="14"/>
    </row>
    <row r="52" spans="1:16" s="52" customFormat="1" ht="112.5" customHeight="1" x14ac:dyDescent="0.3">
      <c r="A52" s="1">
        <v>1</v>
      </c>
      <c r="B52" s="2" t="s">
        <v>33</v>
      </c>
      <c r="C52" s="80" t="s">
        <v>209</v>
      </c>
      <c r="D52" s="4" t="s">
        <v>29</v>
      </c>
      <c r="E52" s="5">
        <f t="shared" si="0"/>
        <v>2</v>
      </c>
      <c r="F52" s="6">
        <v>0</v>
      </c>
      <c r="G52" s="6">
        <f t="shared" si="1"/>
        <v>0</v>
      </c>
      <c r="H52" s="81"/>
      <c r="I52" s="40"/>
      <c r="J52" s="41"/>
      <c r="K52" s="98">
        <v>2</v>
      </c>
      <c r="L52" s="43"/>
      <c r="N52" s="53"/>
      <c r="P52" s="14"/>
    </row>
    <row r="53" spans="1:16" s="52" customFormat="1" ht="109.5" customHeight="1" x14ac:dyDescent="0.3">
      <c r="A53" s="1">
        <v>1</v>
      </c>
      <c r="B53" s="2" t="s">
        <v>35</v>
      </c>
      <c r="C53" s="80" t="s">
        <v>207</v>
      </c>
      <c r="D53" s="4" t="s">
        <v>29</v>
      </c>
      <c r="E53" s="5">
        <f t="shared" si="0"/>
        <v>1</v>
      </c>
      <c r="F53" s="6">
        <v>0</v>
      </c>
      <c r="G53" s="6">
        <f t="shared" si="1"/>
        <v>0</v>
      </c>
      <c r="H53" s="81"/>
      <c r="I53" s="40"/>
      <c r="J53" s="41"/>
      <c r="K53" s="98">
        <v>1</v>
      </c>
      <c r="L53" s="43"/>
      <c r="N53" s="53"/>
      <c r="P53" s="14"/>
    </row>
    <row r="54" spans="1:16" s="52" customFormat="1" ht="138" x14ac:dyDescent="0.3">
      <c r="A54" s="1">
        <v>1</v>
      </c>
      <c r="B54" s="2" t="s">
        <v>38</v>
      </c>
      <c r="C54" s="80" t="s">
        <v>617</v>
      </c>
      <c r="D54" s="4" t="s">
        <v>29</v>
      </c>
      <c r="E54" s="5">
        <f t="shared" si="0"/>
        <v>8</v>
      </c>
      <c r="F54" s="6">
        <v>0</v>
      </c>
      <c r="G54" s="6">
        <f t="shared" si="1"/>
        <v>0</v>
      </c>
      <c r="H54" s="81"/>
      <c r="I54" s="40"/>
      <c r="J54" s="41"/>
      <c r="K54" s="98">
        <v>8</v>
      </c>
      <c r="L54" s="43"/>
      <c r="N54" s="53"/>
      <c r="P54" s="14"/>
    </row>
    <row r="55" spans="1:16" s="52" customFormat="1" ht="96.6" x14ac:dyDescent="0.3">
      <c r="A55" s="1">
        <v>1</v>
      </c>
      <c r="B55" s="2" t="s">
        <v>40</v>
      </c>
      <c r="C55" s="80" t="s">
        <v>204</v>
      </c>
      <c r="D55" s="4" t="s">
        <v>29</v>
      </c>
      <c r="E55" s="5">
        <f t="shared" si="0"/>
        <v>1</v>
      </c>
      <c r="F55" s="6">
        <v>0</v>
      </c>
      <c r="G55" s="6">
        <f t="shared" si="1"/>
        <v>0</v>
      </c>
      <c r="H55" s="81"/>
      <c r="I55" s="40"/>
      <c r="J55" s="41"/>
      <c r="K55" s="98">
        <v>1</v>
      </c>
      <c r="L55" s="43"/>
      <c r="N55" s="53"/>
      <c r="P55" s="14"/>
    </row>
    <row r="56" spans="1:16" s="52" customFormat="1" ht="264.75" customHeight="1" x14ac:dyDescent="0.3">
      <c r="A56" s="150">
        <v>1</v>
      </c>
      <c r="B56" s="150" t="s">
        <v>42</v>
      </c>
      <c r="C56" s="142" t="s">
        <v>478</v>
      </c>
      <c r="D56" s="147" t="s">
        <v>10</v>
      </c>
      <c r="E56" s="148">
        <f>SUM(H56:N56)</f>
        <v>1</v>
      </c>
      <c r="F56" s="149">
        <v>0</v>
      </c>
      <c r="G56" s="149">
        <f t="shared" si="1"/>
        <v>0</v>
      </c>
      <c r="H56" s="81"/>
      <c r="I56" s="40"/>
      <c r="J56" s="41"/>
      <c r="K56" s="297">
        <v>1</v>
      </c>
      <c r="L56" s="43"/>
      <c r="N56" s="53"/>
      <c r="P56" s="14"/>
    </row>
    <row r="57" spans="1:16" s="52" customFormat="1" ht="242.25" customHeight="1" x14ac:dyDescent="0.3">
      <c r="A57" s="155"/>
      <c r="B57" s="155"/>
      <c r="C57" s="143" t="s">
        <v>201</v>
      </c>
      <c r="D57" s="144"/>
      <c r="E57" s="145"/>
      <c r="F57" s="146"/>
      <c r="G57" s="146"/>
      <c r="H57" s="81"/>
      <c r="I57" s="40"/>
      <c r="J57" s="41"/>
      <c r="K57" s="297"/>
      <c r="L57" s="43"/>
      <c r="N57" s="53"/>
      <c r="P57" s="14"/>
    </row>
    <row r="58" spans="1:16" s="52" customFormat="1" ht="102" customHeight="1" x14ac:dyDescent="0.3">
      <c r="A58" s="1">
        <v>1</v>
      </c>
      <c r="B58" s="2" t="s">
        <v>44</v>
      </c>
      <c r="C58" s="80" t="s">
        <v>199</v>
      </c>
      <c r="D58" s="4" t="s">
        <v>10</v>
      </c>
      <c r="E58" s="5">
        <f>SUM(H58:N58)</f>
        <v>1</v>
      </c>
      <c r="F58" s="6">
        <v>0</v>
      </c>
      <c r="G58" s="6">
        <f t="shared" ref="G58:G69" si="2">E58*F58</f>
        <v>0</v>
      </c>
      <c r="H58" s="81"/>
      <c r="I58" s="40"/>
      <c r="J58" s="41"/>
      <c r="K58" s="98">
        <v>1</v>
      </c>
      <c r="L58" s="43"/>
      <c r="N58" s="53"/>
      <c r="P58" s="14"/>
    </row>
    <row r="59" spans="1:16" s="52" customFormat="1" ht="126" customHeight="1" x14ac:dyDescent="0.3">
      <c r="A59" s="1">
        <v>1</v>
      </c>
      <c r="B59" s="2" t="s">
        <v>46</v>
      </c>
      <c r="C59" s="80" t="s">
        <v>197</v>
      </c>
      <c r="D59" s="4" t="s">
        <v>29</v>
      </c>
      <c r="E59" s="5">
        <f t="shared" ref="E59:E68" si="3">SUM(H59:N59)</f>
        <v>3</v>
      </c>
      <c r="F59" s="6">
        <v>0</v>
      </c>
      <c r="G59" s="6">
        <f t="shared" si="2"/>
        <v>0</v>
      </c>
      <c r="H59" s="81"/>
      <c r="I59" s="40"/>
      <c r="J59" s="41"/>
      <c r="K59" s="98">
        <v>3</v>
      </c>
      <c r="L59" s="43"/>
      <c r="N59" s="53"/>
      <c r="P59" s="14"/>
    </row>
    <row r="60" spans="1:16" s="52" customFormat="1" ht="126.75" customHeight="1" x14ac:dyDescent="0.3">
      <c r="A60" s="1">
        <v>1</v>
      </c>
      <c r="B60" s="2" t="s">
        <v>48</v>
      </c>
      <c r="C60" s="80" t="s">
        <v>195</v>
      </c>
      <c r="D60" s="4" t="s">
        <v>29</v>
      </c>
      <c r="E60" s="5">
        <f t="shared" si="3"/>
        <v>2</v>
      </c>
      <c r="F60" s="6">
        <v>0</v>
      </c>
      <c r="G60" s="6">
        <f t="shared" si="2"/>
        <v>0</v>
      </c>
      <c r="H60" s="81"/>
      <c r="I60" s="40"/>
      <c r="J60" s="41"/>
      <c r="K60" s="98">
        <v>2</v>
      </c>
      <c r="L60" s="43"/>
      <c r="N60" s="53"/>
      <c r="P60" s="14"/>
    </row>
    <row r="61" spans="1:16" s="52" customFormat="1" ht="125.25" customHeight="1" x14ac:dyDescent="0.3">
      <c r="A61" s="1">
        <v>1</v>
      </c>
      <c r="B61" s="2" t="s">
        <v>50</v>
      </c>
      <c r="C61" s="80" t="s">
        <v>193</v>
      </c>
      <c r="D61" s="4" t="s">
        <v>29</v>
      </c>
      <c r="E61" s="5">
        <f t="shared" si="3"/>
        <v>1</v>
      </c>
      <c r="F61" s="6">
        <v>0</v>
      </c>
      <c r="G61" s="6">
        <f t="shared" si="2"/>
        <v>0</v>
      </c>
      <c r="H61" s="81"/>
      <c r="I61" s="40"/>
      <c r="J61" s="41"/>
      <c r="K61" s="98">
        <v>1</v>
      </c>
      <c r="L61" s="43"/>
      <c r="N61" s="53"/>
      <c r="P61" s="14"/>
    </row>
    <row r="62" spans="1:16" s="52" customFormat="1" ht="112.5" customHeight="1" x14ac:dyDescent="0.3">
      <c r="A62" s="1">
        <v>1</v>
      </c>
      <c r="B62" s="2" t="s">
        <v>51</v>
      </c>
      <c r="C62" s="80" t="s">
        <v>191</v>
      </c>
      <c r="D62" s="4" t="s">
        <v>18</v>
      </c>
      <c r="E62" s="5">
        <f t="shared" si="3"/>
        <v>8</v>
      </c>
      <c r="F62" s="6">
        <v>0</v>
      </c>
      <c r="G62" s="6">
        <f t="shared" si="2"/>
        <v>0</v>
      </c>
      <c r="H62" s="81"/>
      <c r="I62" s="40"/>
      <c r="J62" s="41"/>
      <c r="K62" s="98">
        <v>8</v>
      </c>
      <c r="L62" s="43"/>
      <c r="N62" s="53"/>
      <c r="P62" s="14"/>
    </row>
    <row r="63" spans="1:16" s="52" customFormat="1" ht="99.75" customHeight="1" x14ac:dyDescent="0.3">
      <c r="A63" s="1">
        <v>1</v>
      </c>
      <c r="B63" s="2" t="s">
        <v>53</v>
      </c>
      <c r="C63" s="80" t="s">
        <v>189</v>
      </c>
      <c r="D63" s="4" t="s">
        <v>29</v>
      </c>
      <c r="E63" s="5">
        <f t="shared" si="3"/>
        <v>1</v>
      </c>
      <c r="F63" s="6">
        <v>0</v>
      </c>
      <c r="G63" s="6">
        <f t="shared" si="2"/>
        <v>0</v>
      </c>
      <c r="H63" s="81"/>
      <c r="I63" s="40"/>
      <c r="J63" s="41"/>
      <c r="K63" s="98">
        <v>1</v>
      </c>
      <c r="L63" s="43"/>
      <c r="N63" s="53"/>
      <c r="P63" s="14"/>
    </row>
    <row r="64" spans="1:16" s="52" customFormat="1" ht="126.75" customHeight="1" x14ac:dyDescent="0.3">
      <c r="A64" s="1">
        <v>1</v>
      </c>
      <c r="B64" s="2" t="s">
        <v>55</v>
      </c>
      <c r="C64" s="80" t="s">
        <v>187</v>
      </c>
      <c r="D64" s="4" t="s">
        <v>29</v>
      </c>
      <c r="E64" s="5">
        <f t="shared" si="3"/>
        <v>3</v>
      </c>
      <c r="F64" s="6">
        <v>0</v>
      </c>
      <c r="G64" s="6">
        <f t="shared" si="2"/>
        <v>0</v>
      </c>
      <c r="H64" s="81"/>
      <c r="I64" s="40"/>
      <c r="J64" s="41"/>
      <c r="K64" s="98">
        <v>3</v>
      </c>
      <c r="L64" s="43"/>
      <c r="N64" s="53"/>
      <c r="P64" s="14"/>
    </row>
    <row r="65" spans="1:16" s="52" customFormat="1" ht="114" customHeight="1" x14ac:dyDescent="0.3">
      <c r="A65" s="1">
        <v>1</v>
      </c>
      <c r="B65" s="2" t="s">
        <v>57</v>
      </c>
      <c r="C65" s="80" t="s">
        <v>185</v>
      </c>
      <c r="D65" s="4" t="s">
        <v>29</v>
      </c>
      <c r="E65" s="5">
        <f t="shared" si="3"/>
        <v>2</v>
      </c>
      <c r="F65" s="6">
        <v>0</v>
      </c>
      <c r="G65" s="6">
        <f t="shared" si="2"/>
        <v>0</v>
      </c>
      <c r="H65" s="81"/>
      <c r="I65" s="40"/>
      <c r="J65" s="41"/>
      <c r="K65" s="98">
        <v>2</v>
      </c>
      <c r="L65" s="43"/>
      <c r="N65" s="53"/>
      <c r="P65" s="14"/>
    </row>
    <row r="66" spans="1:16" s="52" customFormat="1" ht="110.4" x14ac:dyDescent="0.3">
      <c r="A66" s="1">
        <v>1</v>
      </c>
      <c r="B66" s="2" t="s">
        <v>58</v>
      </c>
      <c r="C66" s="80" t="s">
        <v>183</v>
      </c>
      <c r="D66" s="4" t="s">
        <v>29</v>
      </c>
      <c r="E66" s="5">
        <f t="shared" si="3"/>
        <v>1</v>
      </c>
      <c r="F66" s="6">
        <v>0</v>
      </c>
      <c r="G66" s="6">
        <f t="shared" si="2"/>
        <v>0</v>
      </c>
      <c r="H66" s="81"/>
      <c r="I66" s="40"/>
      <c r="J66" s="41"/>
      <c r="K66" s="98">
        <v>1</v>
      </c>
      <c r="L66" s="43"/>
      <c r="N66" s="53"/>
      <c r="P66" s="14"/>
    </row>
    <row r="67" spans="1:16" s="52" customFormat="1" ht="96.6" x14ac:dyDescent="0.3">
      <c r="A67" s="1">
        <v>1</v>
      </c>
      <c r="B67" s="2" t="s">
        <v>60</v>
      </c>
      <c r="C67" s="80" t="s">
        <v>181</v>
      </c>
      <c r="D67" s="4" t="s">
        <v>29</v>
      </c>
      <c r="E67" s="5">
        <f t="shared" si="3"/>
        <v>1</v>
      </c>
      <c r="F67" s="6">
        <v>0</v>
      </c>
      <c r="G67" s="6">
        <f t="shared" si="2"/>
        <v>0</v>
      </c>
      <c r="H67" s="81"/>
      <c r="I67" s="40"/>
      <c r="J67" s="41"/>
      <c r="K67" s="98">
        <v>1</v>
      </c>
      <c r="L67" s="43"/>
      <c r="N67" s="53"/>
      <c r="P67" s="14"/>
    </row>
    <row r="68" spans="1:16" s="52" customFormat="1" ht="141" customHeight="1" x14ac:dyDescent="0.3">
      <c r="A68" s="1">
        <v>1</v>
      </c>
      <c r="B68" s="2" t="s">
        <v>77</v>
      </c>
      <c r="C68" s="80" t="s">
        <v>619</v>
      </c>
      <c r="D68" s="4" t="s">
        <v>29</v>
      </c>
      <c r="E68" s="5">
        <f t="shared" si="3"/>
        <v>8</v>
      </c>
      <c r="F68" s="6">
        <v>0</v>
      </c>
      <c r="G68" s="6">
        <f t="shared" si="2"/>
        <v>0</v>
      </c>
      <c r="H68" s="81"/>
      <c r="I68" s="40"/>
      <c r="J68" s="41"/>
      <c r="K68" s="98">
        <v>8</v>
      </c>
      <c r="L68" s="43"/>
      <c r="N68" s="53"/>
      <c r="P68" s="14"/>
    </row>
    <row r="69" spans="1:16" s="52" customFormat="1" ht="234" customHeight="1" x14ac:dyDescent="0.3">
      <c r="A69" s="150">
        <v>1</v>
      </c>
      <c r="B69" s="150" t="s">
        <v>78</v>
      </c>
      <c r="C69" s="142" t="s">
        <v>479</v>
      </c>
      <c r="D69" s="147" t="s">
        <v>10</v>
      </c>
      <c r="E69" s="148">
        <f>SUM(H69:N69)</f>
        <v>1</v>
      </c>
      <c r="F69" s="149">
        <v>0</v>
      </c>
      <c r="G69" s="149">
        <f t="shared" si="2"/>
        <v>0</v>
      </c>
      <c r="H69" s="81"/>
      <c r="I69" s="40"/>
      <c r="J69" s="41"/>
      <c r="K69" s="103">
        <v>1</v>
      </c>
      <c r="L69" s="43"/>
      <c r="N69" s="53"/>
      <c r="P69" s="14"/>
    </row>
    <row r="70" spans="1:16" s="52" customFormat="1" ht="252" customHeight="1" x14ac:dyDescent="0.3">
      <c r="A70" s="155"/>
      <c r="B70" s="155"/>
      <c r="C70" s="143" t="s">
        <v>176</v>
      </c>
      <c r="D70" s="144"/>
      <c r="E70" s="145"/>
      <c r="F70" s="146"/>
      <c r="G70" s="146"/>
      <c r="H70" s="81"/>
      <c r="I70" s="40"/>
      <c r="J70" s="41"/>
      <c r="K70" s="103"/>
      <c r="L70" s="43"/>
      <c r="N70" s="53"/>
      <c r="P70" s="14"/>
    </row>
    <row r="71" spans="1:16" s="52" customFormat="1" ht="98.25" customHeight="1" x14ac:dyDescent="0.3">
      <c r="A71" s="1">
        <v>1</v>
      </c>
      <c r="B71" s="2" t="s">
        <v>79</v>
      </c>
      <c r="C71" s="80" t="s">
        <v>174</v>
      </c>
      <c r="D71" s="4" t="s">
        <v>10</v>
      </c>
      <c r="E71" s="5">
        <f>SUM(H71:N71)</f>
        <v>1</v>
      </c>
      <c r="F71" s="6">
        <v>0</v>
      </c>
      <c r="G71" s="6">
        <f t="shared" ref="G71:G89" si="4">E71*F71</f>
        <v>0</v>
      </c>
      <c r="H71" s="81"/>
      <c r="I71" s="40"/>
      <c r="J71" s="41"/>
      <c r="K71" s="98">
        <v>1</v>
      </c>
      <c r="L71" s="43"/>
      <c r="N71" s="53"/>
      <c r="P71" s="14"/>
    </row>
    <row r="72" spans="1:16" s="52" customFormat="1" ht="124.2" x14ac:dyDescent="0.3">
      <c r="A72" s="1">
        <v>1</v>
      </c>
      <c r="B72" s="2" t="s">
        <v>81</v>
      </c>
      <c r="C72" s="80" t="s">
        <v>172</v>
      </c>
      <c r="D72" s="4" t="s">
        <v>29</v>
      </c>
      <c r="E72" s="5">
        <f t="shared" ref="E72:E89" si="5">SUM(H72:N72)</f>
        <v>16</v>
      </c>
      <c r="F72" s="6">
        <v>0</v>
      </c>
      <c r="G72" s="6">
        <f t="shared" si="4"/>
        <v>0</v>
      </c>
      <c r="H72" s="81"/>
      <c r="I72" s="40"/>
      <c r="J72" s="41"/>
      <c r="K72" s="98">
        <v>16</v>
      </c>
      <c r="L72" s="43"/>
      <c r="N72" s="53"/>
      <c r="P72" s="14"/>
    </row>
    <row r="73" spans="1:16" s="52" customFormat="1" ht="124.2" x14ac:dyDescent="0.3">
      <c r="A73" s="1">
        <v>1</v>
      </c>
      <c r="B73" s="2" t="s">
        <v>218</v>
      </c>
      <c r="C73" s="80" t="s">
        <v>170</v>
      </c>
      <c r="D73" s="4" t="s">
        <v>29</v>
      </c>
      <c r="E73" s="5">
        <f t="shared" si="5"/>
        <v>8</v>
      </c>
      <c r="F73" s="6">
        <v>0</v>
      </c>
      <c r="G73" s="6">
        <f t="shared" si="4"/>
        <v>0</v>
      </c>
      <c r="H73" s="81"/>
      <c r="I73" s="40"/>
      <c r="J73" s="41"/>
      <c r="K73" s="98">
        <v>8</v>
      </c>
      <c r="L73" s="43"/>
      <c r="N73" s="53"/>
      <c r="P73" s="14"/>
    </row>
    <row r="74" spans="1:16" s="52" customFormat="1" ht="96.6" x14ac:dyDescent="0.3">
      <c r="A74" s="1">
        <v>1</v>
      </c>
      <c r="B74" s="2" t="s">
        <v>216</v>
      </c>
      <c r="C74" s="80" t="s">
        <v>168</v>
      </c>
      <c r="D74" s="4" t="s">
        <v>29</v>
      </c>
      <c r="E74" s="5">
        <f t="shared" si="5"/>
        <v>7</v>
      </c>
      <c r="F74" s="6">
        <v>0</v>
      </c>
      <c r="G74" s="6">
        <f t="shared" si="4"/>
        <v>0</v>
      </c>
      <c r="H74" s="81"/>
      <c r="I74" s="40"/>
      <c r="J74" s="41"/>
      <c r="K74" s="98">
        <v>7</v>
      </c>
      <c r="L74" s="43"/>
      <c r="N74" s="53"/>
      <c r="P74" s="14"/>
    </row>
    <row r="75" spans="1:16" s="52" customFormat="1" ht="124.2" x14ac:dyDescent="0.3">
      <c r="A75" s="1">
        <v>1</v>
      </c>
      <c r="B75" s="2" t="s">
        <v>214</v>
      </c>
      <c r="C75" s="80" t="s">
        <v>166</v>
      </c>
      <c r="D75" s="4" t="s">
        <v>29</v>
      </c>
      <c r="E75" s="5">
        <f t="shared" si="5"/>
        <v>16</v>
      </c>
      <c r="F75" s="6">
        <v>0</v>
      </c>
      <c r="G75" s="6">
        <f t="shared" si="4"/>
        <v>0</v>
      </c>
      <c r="H75" s="81"/>
      <c r="I75" s="40"/>
      <c r="J75" s="41"/>
      <c r="K75" s="98">
        <v>16</v>
      </c>
      <c r="L75" s="43"/>
      <c r="N75" s="53"/>
      <c r="P75" s="14"/>
    </row>
    <row r="76" spans="1:16" s="52" customFormat="1" ht="111.75" customHeight="1" x14ac:dyDescent="0.3">
      <c r="A76" s="1">
        <v>1</v>
      </c>
      <c r="B76" s="2" t="s">
        <v>212</v>
      </c>
      <c r="C76" s="80" t="s">
        <v>164</v>
      </c>
      <c r="D76" s="4" t="s">
        <v>29</v>
      </c>
      <c r="E76" s="5">
        <f t="shared" si="5"/>
        <v>8</v>
      </c>
      <c r="F76" s="6">
        <v>0</v>
      </c>
      <c r="G76" s="6">
        <f t="shared" si="4"/>
        <v>0</v>
      </c>
      <c r="H76" s="81"/>
      <c r="I76" s="40"/>
      <c r="J76" s="41"/>
      <c r="K76" s="98">
        <v>8</v>
      </c>
      <c r="L76" s="43"/>
      <c r="N76" s="53"/>
      <c r="P76" s="14"/>
    </row>
    <row r="77" spans="1:16" s="52" customFormat="1" ht="96.6" x14ac:dyDescent="0.3">
      <c r="A77" s="1">
        <v>1</v>
      </c>
      <c r="B77" s="2" t="s">
        <v>210</v>
      </c>
      <c r="C77" s="80" t="s">
        <v>162</v>
      </c>
      <c r="D77" s="4" t="s">
        <v>29</v>
      </c>
      <c r="E77" s="5">
        <f t="shared" si="5"/>
        <v>1</v>
      </c>
      <c r="F77" s="6">
        <v>0</v>
      </c>
      <c r="G77" s="6">
        <f t="shared" si="4"/>
        <v>0</v>
      </c>
      <c r="H77" s="81"/>
      <c r="I77" s="40"/>
      <c r="J77" s="41"/>
      <c r="K77" s="98">
        <v>1</v>
      </c>
      <c r="L77" s="43"/>
      <c r="N77" s="53"/>
      <c r="P77" s="14"/>
    </row>
    <row r="78" spans="1:16" s="52" customFormat="1" ht="110.4" x14ac:dyDescent="0.3">
      <c r="A78" s="1">
        <v>1</v>
      </c>
      <c r="B78" s="2" t="s">
        <v>208</v>
      </c>
      <c r="C78" s="80" t="s">
        <v>160</v>
      </c>
      <c r="D78" s="4" t="s">
        <v>29</v>
      </c>
      <c r="E78" s="5">
        <f t="shared" si="5"/>
        <v>7</v>
      </c>
      <c r="F78" s="6">
        <v>0</v>
      </c>
      <c r="G78" s="6">
        <f t="shared" si="4"/>
        <v>0</v>
      </c>
      <c r="H78" s="81"/>
      <c r="I78" s="40"/>
      <c r="J78" s="41"/>
      <c r="K78" s="98">
        <v>7</v>
      </c>
      <c r="L78" s="43"/>
      <c r="N78" s="53"/>
      <c r="P78" s="14"/>
    </row>
    <row r="79" spans="1:16" s="52" customFormat="1" ht="307.5" customHeight="1" x14ac:dyDescent="0.3">
      <c r="A79" s="1">
        <v>1</v>
      </c>
      <c r="B79" s="2" t="s">
        <v>206</v>
      </c>
      <c r="C79" s="80" t="s">
        <v>443</v>
      </c>
      <c r="D79" s="4" t="s">
        <v>10</v>
      </c>
      <c r="E79" s="5">
        <f t="shared" si="5"/>
        <v>1</v>
      </c>
      <c r="F79" s="6">
        <v>0</v>
      </c>
      <c r="G79" s="6">
        <f t="shared" si="4"/>
        <v>0</v>
      </c>
      <c r="H79" s="81"/>
      <c r="I79" s="40"/>
      <c r="J79" s="41"/>
      <c r="K79" s="98">
        <v>1</v>
      </c>
      <c r="L79" s="43"/>
      <c r="N79" s="53"/>
      <c r="P79" s="14"/>
    </row>
    <row r="80" spans="1:16" s="52" customFormat="1" ht="35.25" customHeight="1" x14ac:dyDescent="0.3">
      <c r="A80" s="1">
        <v>1</v>
      </c>
      <c r="B80" s="2" t="s">
        <v>205</v>
      </c>
      <c r="C80" s="80" t="s">
        <v>390</v>
      </c>
      <c r="D80" s="123" t="s">
        <v>29</v>
      </c>
      <c r="E80" s="124">
        <f t="shared" ref="E80:E83" si="6">SUM(H80:N80)</f>
        <v>52</v>
      </c>
      <c r="F80" s="125">
        <v>0</v>
      </c>
      <c r="G80" s="125">
        <f t="shared" ref="G80:G83" si="7">E80*F80</f>
        <v>0</v>
      </c>
      <c r="H80" s="81"/>
      <c r="I80" s="40"/>
      <c r="J80" s="41"/>
      <c r="K80" s="126">
        <v>52</v>
      </c>
      <c r="L80" s="43"/>
      <c r="P80" s="14"/>
    </row>
    <row r="81" spans="1:17" s="52" customFormat="1" ht="62.25" customHeight="1" x14ac:dyDescent="0.3">
      <c r="A81" s="1">
        <v>1</v>
      </c>
      <c r="B81" s="2" t="s">
        <v>203</v>
      </c>
      <c r="C81" s="80" t="s">
        <v>391</v>
      </c>
      <c r="D81" s="123" t="s">
        <v>29</v>
      </c>
      <c r="E81" s="124">
        <f t="shared" si="6"/>
        <v>52</v>
      </c>
      <c r="F81" s="125">
        <v>0</v>
      </c>
      <c r="G81" s="125">
        <f t="shared" si="7"/>
        <v>0</v>
      </c>
      <c r="H81" s="81"/>
      <c r="I81" s="40"/>
      <c r="J81" s="41"/>
      <c r="K81" s="126">
        <v>52</v>
      </c>
      <c r="L81" s="43"/>
      <c r="P81" s="14"/>
    </row>
    <row r="82" spans="1:17" s="52" customFormat="1" ht="165.6" x14ac:dyDescent="0.3">
      <c r="A82" s="1">
        <v>1</v>
      </c>
      <c r="B82" s="2" t="s">
        <v>200</v>
      </c>
      <c r="C82" s="80" t="s">
        <v>620</v>
      </c>
      <c r="D82" s="123" t="s">
        <v>10</v>
      </c>
      <c r="E82" s="124">
        <f t="shared" si="6"/>
        <v>1</v>
      </c>
      <c r="F82" s="125">
        <v>0</v>
      </c>
      <c r="G82" s="125">
        <f t="shared" si="7"/>
        <v>0</v>
      </c>
      <c r="H82" s="81"/>
      <c r="I82" s="40"/>
      <c r="J82" s="41"/>
      <c r="K82" s="126">
        <v>1</v>
      </c>
      <c r="L82" s="43"/>
      <c r="P82" s="14"/>
    </row>
    <row r="83" spans="1:17" s="52" customFormat="1" ht="48" customHeight="1" x14ac:dyDescent="0.3">
      <c r="A83" s="1">
        <v>1</v>
      </c>
      <c r="B83" s="2" t="s">
        <v>198</v>
      </c>
      <c r="C83" s="80" t="s">
        <v>394</v>
      </c>
      <c r="D83" s="123" t="s">
        <v>10</v>
      </c>
      <c r="E83" s="124">
        <f t="shared" si="6"/>
        <v>3</v>
      </c>
      <c r="F83" s="125">
        <v>0</v>
      </c>
      <c r="G83" s="125">
        <f t="shared" si="7"/>
        <v>0</v>
      </c>
      <c r="H83" s="81"/>
      <c r="I83" s="40"/>
      <c r="J83" s="41"/>
      <c r="K83" s="126">
        <v>3</v>
      </c>
      <c r="L83" s="43"/>
      <c r="P83" s="14"/>
    </row>
    <row r="84" spans="1:17" s="52" customFormat="1" ht="110.4" x14ac:dyDescent="0.3">
      <c r="A84" s="1">
        <v>1</v>
      </c>
      <c r="B84" s="2" t="s">
        <v>196</v>
      </c>
      <c r="C84" s="80" t="s">
        <v>296</v>
      </c>
      <c r="D84" s="4" t="s">
        <v>10</v>
      </c>
      <c r="E84" s="5">
        <f t="shared" si="5"/>
        <v>1</v>
      </c>
      <c r="F84" s="6">
        <v>0</v>
      </c>
      <c r="G84" s="6">
        <f t="shared" si="4"/>
        <v>0</v>
      </c>
      <c r="H84" s="81"/>
      <c r="I84" s="40"/>
      <c r="J84" s="41"/>
      <c r="K84" s="98">
        <v>1</v>
      </c>
      <c r="L84" s="43"/>
      <c r="P84" s="14"/>
    </row>
    <row r="85" spans="1:17" s="52" customFormat="1" ht="96.6" x14ac:dyDescent="0.3">
      <c r="A85" s="1">
        <v>1</v>
      </c>
      <c r="B85" s="2" t="s">
        <v>194</v>
      </c>
      <c r="C85" s="80" t="s">
        <v>297</v>
      </c>
      <c r="D85" s="4" t="s">
        <v>10</v>
      </c>
      <c r="E85" s="5">
        <f t="shared" si="5"/>
        <v>1</v>
      </c>
      <c r="F85" s="6">
        <v>0</v>
      </c>
      <c r="G85" s="6">
        <f t="shared" si="4"/>
        <v>0</v>
      </c>
      <c r="H85" s="81"/>
      <c r="I85" s="40"/>
      <c r="J85" s="41"/>
      <c r="K85" s="98">
        <v>1</v>
      </c>
      <c r="L85" s="43"/>
      <c r="P85" s="14"/>
    </row>
    <row r="86" spans="1:17" s="52" customFormat="1" ht="72.75" customHeight="1" x14ac:dyDescent="0.3">
      <c r="A86" s="1">
        <v>1</v>
      </c>
      <c r="B86" s="2" t="s">
        <v>192</v>
      </c>
      <c r="C86" s="80" t="s">
        <v>298</v>
      </c>
      <c r="D86" s="4" t="s">
        <v>10</v>
      </c>
      <c r="E86" s="5">
        <f t="shared" si="5"/>
        <v>1</v>
      </c>
      <c r="F86" s="6">
        <v>0</v>
      </c>
      <c r="G86" s="6">
        <f t="shared" si="4"/>
        <v>0</v>
      </c>
      <c r="H86" s="81"/>
      <c r="I86" s="40"/>
      <c r="J86" s="41"/>
      <c r="K86" s="98">
        <v>1</v>
      </c>
      <c r="L86" s="43"/>
      <c r="P86" s="14"/>
    </row>
    <row r="87" spans="1:17" s="52" customFormat="1" ht="72" customHeight="1" x14ac:dyDescent="0.3">
      <c r="A87" s="1">
        <v>1</v>
      </c>
      <c r="B87" s="2" t="s">
        <v>190</v>
      </c>
      <c r="C87" s="80" t="s">
        <v>471</v>
      </c>
      <c r="D87" s="4" t="s">
        <v>10</v>
      </c>
      <c r="E87" s="5">
        <f t="shared" si="5"/>
        <v>1</v>
      </c>
      <c r="F87" s="6">
        <v>0</v>
      </c>
      <c r="G87" s="6">
        <f t="shared" si="4"/>
        <v>0</v>
      </c>
      <c r="H87" s="81"/>
      <c r="I87" s="40"/>
      <c r="J87" s="41"/>
      <c r="K87" s="98">
        <v>1</v>
      </c>
      <c r="L87" s="43"/>
      <c r="P87" s="14"/>
    </row>
    <row r="88" spans="1:17" s="52" customFormat="1" ht="69" x14ac:dyDescent="0.3">
      <c r="A88" s="1">
        <v>1</v>
      </c>
      <c r="B88" s="2" t="s">
        <v>188</v>
      </c>
      <c r="C88" s="80" t="s">
        <v>300</v>
      </c>
      <c r="D88" s="4" t="s">
        <v>10</v>
      </c>
      <c r="E88" s="5">
        <f t="shared" si="5"/>
        <v>1</v>
      </c>
      <c r="F88" s="6">
        <v>0</v>
      </c>
      <c r="G88" s="6">
        <f t="shared" si="4"/>
        <v>0</v>
      </c>
      <c r="H88" s="81"/>
      <c r="I88" s="40"/>
      <c r="J88" s="41"/>
      <c r="K88" s="98">
        <v>1</v>
      </c>
      <c r="L88" s="43"/>
      <c r="P88" s="14"/>
    </row>
    <row r="89" spans="1:17" s="52" customFormat="1" ht="70.5" customHeight="1" x14ac:dyDescent="0.3">
      <c r="A89" s="1">
        <v>1</v>
      </c>
      <c r="B89" s="2" t="s">
        <v>186</v>
      </c>
      <c r="C89" s="80" t="s">
        <v>301</v>
      </c>
      <c r="D89" s="4" t="s">
        <v>10</v>
      </c>
      <c r="E89" s="5">
        <f t="shared" si="5"/>
        <v>1</v>
      </c>
      <c r="F89" s="6">
        <v>0</v>
      </c>
      <c r="G89" s="6">
        <f t="shared" si="4"/>
        <v>0</v>
      </c>
      <c r="H89" s="81"/>
      <c r="I89" s="40"/>
      <c r="J89" s="41"/>
      <c r="K89" s="98">
        <v>1</v>
      </c>
      <c r="L89" s="43"/>
    </row>
    <row r="90" spans="1:17" x14ac:dyDescent="0.3">
      <c r="A90" s="294" t="s">
        <v>645</v>
      </c>
      <c r="B90" s="294"/>
      <c r="C90" s="294"/>
      <c r="D90" s="294"/>
      <c r="E90" s="294"/>
      <c r="F90" s="294"/>
      <c r="G90" s="213">
        <f>SUM(G44:G89)</f>
        <v>0</v>
      </c>
      <c r="H90" s="63"/>
      <c r="I90" s="60"/>
      <c r="J90" s="42"/>
      <c r="K90" s="98"/>
      <c r="L90" s="68"/>
      <c r="M90" s="70"/>
      <c r="N90" s="51"/>
      <c r="O90" s="52"/>
      <c r="P90" s="52"/>
      <c r="Q90" s="52"/>
    </row>
    <row r="91" spans="1:17" x14ac:dyDescent="0.3">
      <c r="A91" s="295" t="s">
        <v>20</v>
      </c>
      <c r="B91" s="295"/>
      <c r="C91" s="295"/>
      <c r="D91" s="295"/>
      <c r="E91" s="295"/>
      <c r="F91" s="295"/>
      <c r="G91" s="213">
        <f>G90*F91</f>
        <v>0</v>
      </c>
      <c r="H91" s="63"/>
      <c r="I91" s="60"/>
      <c r="J91" s="42"/>
      <c r="K91" s="98"/>
      <c r="L91" s="68"/>
      <c r="M91" s="70"/>
      <c r="N91" s="51"/>
      <c r="O91" s="52"/>
      <c r="P91" s="52"/>
      <c r="Q91" s="52"/>
    </row>
    <row r="92" spans="1:17" x14ac:dyDescent="0.3">
      <c r="A92" s="293" t="s">
        <v>646</v>
      </c>
      <c r="B92" s="293"/>
      <c r="C92" s="293"/>
      <c r="D92" s="293"/>
      <c r="E92" s="293"/>
      <c r="F92" s="293"/>
      <c r="G92" s="213">
        <f>SUM(G90:G91)</f>
        <v>0</v>
      </c>
      <c r="H92" s="63"/>
      <c r="I92" s="60"/>
      <c r="J92" s="42"/>
      <c r="K92" s="98"/>
      <c r="L92" s="68"/>
      <c r="M92" s="70"/>
      <c r="N92" s="51"/>
      <c r="O92" s="52"/>
      <c r="P92" s="52"/>
      <c r="Q92" s="52"/>
    </row>
  </sheetData>
  <mergeCells count="7">
    <mergeCell ref="A91:F91"/>
    <mergeCell ref="A92:F92"/>
    <mergeCell ref="K56:K57"/>
    <mergeCell ref="A12:G12"/>
    <mergeCell ref="A16:G16"/>
    <mergeCell ref="A20:G20"/>
    <mergeCell ref="A90:F90"/>
  </mergeCells>
  <phoneticPr fontId="8" type="noConversion"/>
  <pageMargins left="0.98425196850393704" right="0.39370078740157483" top="1.1811023622047245" bottom="0.78740157480314965" header="0.39370078740157483" footer="0.39370078740157483"/>
  <pageSetup paperSize="9" scale="96" orientation="portrait" useFirstPageNumber="1" r:id="rId1"/>
  <headerFooter>
    <oddHeader>&amp;L&amp;G&amp;R&amp;G</oddHeader>
    <oddFooter xml:space="preserve">&amp;L&amp;"-,Bold"&amp;9TROŠKOVNIK &amp;A&amp;"-,Regular"     &amp;KFF0000 &amp;K000000GRAĐEVINSKI PROJEKT - PROJEKT POPRAVKA GRAĐEVINSKE KONSTRUKCIJE     GPP-13/21&amp;R&amp;"-,Bold"&amp;9&amp;P/&amp;N   </oddFooter>
  </headerFooter>
  <rowBreaks count="1" manualBreakCount="1">
    <brk id="68"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15AA8-45BA-4516-BC1E-03A81DA77935}">
  <sheetPr codeName="Sheet7"/>
  <dimension ref="A12:AB65"/>
  <sheetViews>
    <sheetView view="pageBreakPreview" topLeftCell="A61" zoomScaleNormal="100" zoomScaleSheetLayoutView="100" zoomScalePageLayoutView="60" workbookViewId="0">
      <selection activeCell="A65" sqref="A65:F65"/>
    </sheetView>
  </sheetViews>
  <sheetFormatPr defaultRowHeight="14.4" x14ac:dyDescent="0.3"/>
  <cols>
    <col min="1" max="1" width="3.6640625" style="8" customWidth="1"/>
    <col min="2" max="2" width="3.6640625" style="9" customWidth="1"/>
    <col min="3" max="3" width="40.6640625" style="10" customWidth="1"/>
    <col min="4" max="4" width="7.6640625" style="11" customWidth="1"/>
    <col min="5" max="5" width="8.6640625" style="12" customWidth="1"/>
    <col min="6" max="6" width="12.6640625" style="14" customWidth="1"/>
    <col min="7" max="7" width="13.6640625" style="14" customWidth="1"/>
    <col min="8" max="8" width="8.88671875" style="61" hidden="1" customWidth="1"/>
    <col min="9" max="9" width="11" style="58" hidden="1" customWidth="1"/>
    <col min="10" max="10" width="8.88671875" style="57" hidden="1" customWidth="1"/>
    <col min="11" max="11" width="8.88671875" style="71" hidden="1" customWidth="1"/>
    <col min="12" max="12" width="8.88671875" style="72" hidden="1" customWidth="1"/>
    <col min="13" max="13" width="8.88671875" style="73" hidden="1" customWidth="1"/>
    <col min="14" max="14" width="8.88671875" style="55" hidden="1" customWidth="1"/>
    <col min="15" max="15" width="12" hidden="1" customWidth="1"/>
    <col min="16" max="16" width="5" hidden="1" customWidth="1"/>
    <col min="17" max="17" width="11.33203125" hidden="1" customWidth="1"/>
    <col min="26" max="26" width="11.109375" bestFit="1" customWidth="1"/>
  </cols>
  <sheetData>
    <row r="12" spans="1:7" ht="71.25" customHeight="1" x14ac:dyDescent="0.3">
      <c r="A12" s="287" t="s">
        <v>324</v>
      </c>
      <c r="B12" s="288"/>
      <c r="C12" s="288"/>
      <c r="D12" s="288"/>
      <c r="E12" s="288"/>
      <c r="F12" s="288"/>
      <c r="G12" s="288"/>
    </row>
    <row r="16" spans="1:7" ht="59.25" customHeight="1" x14ac:dyDescent="0.3">
      <c r="A16" s="292" t="s">
        <v>326</v>
      </c>
      <c r="B16" s="289"/>
      <c r="C16" s="289"/>
      <c r="D16" s="289"/>
      <c r="E16" s="289"/>
      <c r="F16" s="289"/>
      <c r="G16" s="289"/>
    </row>
    <row r="20" spans="1:7" ht="18" x14ac:dyDescent="0.3">
      <c r="A20" s="296" t="s">
        <v>329</v>
      </c>
      <c r="B20" s="296"/>
      <c r="C20" s="296"/>
      <c r="D20" s="296"/>
      <c r="E20" s="296"/>
      <c r="F20" s="296"/>
      <c r="G20" s="296"/>
    </row>
    <row r="39" spans="1:26" x14ac:dyDescent="0.3">
      <c r="K39" s="96"/>
    </row>
    <row r="40" spans="1:26" x14ac:dyDescent="0.3">
      <c r="K40" s="96"/>
    </row>
    <row r="43" spans="1:26" ht="27.6" x14ac:dyDescent="0.3">
      <c r="A43" s="15" t="s">
        <v>0</v>
      </c>
      <c r="B43" s="16"/>
      <c r="C43" s="17" t="s">
        <v>1</v>
      </c>
      <c r="D43" s="18" t="s">
        <v>2</v>
      </c>
      <c r="E43" s="19" t="s">
        <v>3</v>
      </c>
      <c r="F43" s="20" t="s">
        <v>4</v>
      </c>
      <c r="G43" s="20" t="s">
        <v>644</v>
      </c>
      <c r="H43" s="62"/>
      <c r="I43" s="59"/>
      <c r="J43" s="54"/>
      <c r="K43" s="64"/>
      <c r="L43" s="67" t="s">
        <v>115</v>
      </c>
      <c r="M43" s="69"/>
      <c r="N43" s="56"/>
      <c r="O43" s="52" t="s">
        <v>107</v>
      </c>
      <c r="P43" s="52" t="s">
        <v>108</v>
      </c>
      <c r="Q43" s="52" t="s">
        <v>109</v>
      </c>
    </row>
    <row r="44" spans="1:26" x14ac:dyDescent="0.3">
      <c r="A44" s="28" t="s">
        <v>6</v>
      </c>
      <c r="B44" s="29"/>
      <c r="C44" s="46" t="s">
        <v>118</v>
      </c>
      <c r="D44" s="31"/>
      <c r="E44" s="32"/>
      <c r="F44" s="33"/>
      <c r="G44" s="33"/>
      <c r="H44" s="63"/>
      <c r="I44" s="60"/>
      <c r="J44" s="42"/>
      <c r="K44" s="65"/>
      <c r="L44" s="68"/>
      <c r="M44" s="70"/>
      <c r="N44" s="51"/>
      <c r="O44" s="52"/>
      <c r="P44" s="52"/>
      <c r="Q44" s="52"/>
    </row>
    <row r="45" spans="1:26" s="52" customFormat="1" ht="99.75" customHeight="1" x14ac:dyDescent="0.3">
      <c r="A45" s="1">
        <v>1</v>
      </c>
      <c r="B45" s="2" t="s">
        <v>8</v>
      </c>
      <c r="C45" s="80" t="s">
        <v>119</v>
      </c>
      <c r="D45" s="4" t="s">
        <v>10</v>
      </c>
      <c r="E45" s="5">
        <f>SUM(H45:N45)</f>
        <v>1</v>
      </c>
      <c r="F45" s="6">
        <v>0</v>
      </c>
      <c r="G45" s="6">
        <f t="shared" ref="G45:G62" si="0">E45*F45</f>
        <v>0</v>
      </c>
      <c r="H45" s="81"/>
      <c r="I45" s="40"/>
      <c r="J45" s="41"/>
      <c r="K45" s="42"/>
      <c r="L45" s="68">
        <v>1</v>
      </c>
      <c r="N45" s="53"/>
      <c r="Z45" s="14"/>
    </row>
    <row r="46" spans="1:26" s="52" customFormat="1" ht="134.25" customHeight="1" x14ac:dyDescent="0.3">
      <c r="A46" s="1">
        <v>1</v>
      </c>
      <c r="B46" s="2" t="s">
        <v>11</v>
      </c>
      <c r="C46" s="80" t="s">
        <v>120</v>
      </c>
      <c r="D46" s="4" t="s">
        <v>29</v>
      </c>
      <c r="E46" s="5">
        <f t="shared" ref="E46:E61" si="1">SUM(H46:N46)</f>
        <v>3</v>
      </c>
      <c r="F46" s="6">
        <v>0</v>
      </c>
      <c r="G46" s="6">
        <f t="shared" si="0"/>
        <v>0</v>
      </c>
      <c r="H46" s="81"/>
      <c r="I46" s="40"/>
      <c r="J46" s="41"/>
      <c r="K46" s="42"/>
      <c r="L46" s="68">
        <v>3</v>
      </c>
      <c r="N46" s="53"/>
    </row>
    <row r="47" spans="1:26" s="52" customFormat="1" ht="93" customHeight="1" x14ac:dyDescent="0.3">
      <c r="A47" s="1">
        <v>1</v>
      </c>
      <c r="B47" s="2" t="s">
        <v>13</v>
      </c>
      <c r="C47" s="80" t="s">
        <v>121</v>
      </c>
      <c r="D47" s="4" t="s">
        <v>10</v>
      </c>
      <c r="E47" s="5">
        <f t="shared" si="1"/>
        <v>1</v>
      </c>
      <c r="F47" s="6">
        <v>0</v>
      </c>
      <c r="G47" s="6">
        <f t="shared" si="0"/>
        <v>0</v>
      </c>
      <c r="H47" s="81"/>
      <c r="I47" s="40"/>
      <c r="J47" s="41"/>
      <c r="K47" s="42"/>
      <c r="L47" s="68">
        <v>1</v>
      </c>
      <c r="N47" s="53"/>
    </row>
    <row r="48" spans="1:26" s="52" customFormat="1" ht="96.6" x14ac:dyDescent="0.3">
      <c r="A48" s="1">
        <v>1</v>
      </c>
      <c r="B48" s="2" t="s">
        <v>26</v>
      </c>
      <c r="C48" s="80" t="s">
        <v>616</v>
      </c>
      <c r="D48" s="4" t="s">
        <v>29</v>
      </c>
      <c r="E48" s="5">
        <f t="shared" si="1"/>
        <v>2</v>
      </c>
      <c r="F48" s="6">
        <v>0</v>
      </c>
      <c r="G48" s="6">
        <f t="shared" si="0"/>
        <v>0</v>
      </c>
      <c r="H48" s="81"/>
      <c r="I48" s="40"/>
      <c r="J48" s="41"/>
      <c r="K48" s="42"/>
      <c r="L48" s="68">
        <v>2</v>
      </c>
      <c r="N48" s="53"/>
    </row>
    <row r="49" spans="1:28" s="52" customFormat="1" ht="178.5" customHeight="1" x14ac:dyDescent="0.3">
      <c r="A49" s="1">
        <v>1</v>
      </c>
      <c r="B49" s="2" t="s">
        <v>28</v>
      </c>
      <c r="C49" s="80" t="s">
        <v>124</v>
      </c>
      <c r="D49" s="4" t="s">
        <v>29</v>
      </c>
      <c r="E49" s="5">
        <f t="shared" si="1"/>
        <v>2</v>
      </c>
      <c r="F49" s="6">
        <v>0</v>
      </c>
      <c r="G49" s="6">
        <f t="shared" si="0"/>
        <v>0</v>
      </c>
      <c r="H49" s="81"/>
      <c r="I49" s="40"/>
      <c r="J49" s="41"/>
      <c r="K49" s="42"/>
      <c r="L49" s="68">
        <v>2</v>
      </c>
      <c r="N49" s="53"/>
    </row>
    <row r="50" spans="1:28" s="52" customFormat="1" ht="82.5" customHeight="1" x14ac:dyDescent="0.3">
      <c r="A50" s="1">
        <v>1</v>
      </c>
      <c r="B50" s="2" t="s">
        <v>30</v>
      </c>
      <c r="C50" s="80" t="s">
        <v>125</v>
      </c>
      <c r="D50" s="4" t="s">
        <v>29</v>
      </c>
      <c r="E50" s="5">
        <f t="shared" si="1"/>
        <v>2</v>
      </c>
      <c r="F50" s="6">
        <v>0</v>
      </c>
      <c r="G50" s="6">
        <f t="shared" si="0"/>
        <v>0</v>
      </c>
      <c r="H50" s="81"/>
      <c r="I50" s="40"/>
      <c r="J50" s="41"/>
      <c r="K50" s="42"/>
      <c r="L50" s="68">
        <v>2</v>
      </c>
      <c r="N50" s="53"/>
    </row>
    <row r="51" spans="1:28" s="52" customFormat="1" ht="110.4" x14ac:dyDescent="0.3">
      <c r="A51" s="1">
        <v>1</v>
      </c>
      <c r="B51" s="2" t="s">
        <v>31</v>
      </c>
      <c r="C51" s="80" t="s">
        <v>480</v>
      </c>
      <c r="D51" s="4" t="s">
        <v>29</v>
      </c>
      <c r="E51" s="5">
        <f t="shared" si="1"/>
        <v>2</v>
      </c>
      <c r="F51" s="6">
        <v>0</v>
      </c>
      <c r="G51" s="6">
        <f t="shared" si="0"/>
        <v>0</v>
      </c>
      <c r="H51" s="81"/>
      <c r="I51" s="40"/>
      <c r="J51" s="41"/>
      <c r="K51" s="42"/>
      <c r="L51" s="68">
        <v>2</v>
      </c>
      <c r="N51" s="53"/>
    </row>
    <row r="52" spans="1:28" s="52" customFormat="1" ht="82.8" x14ac:dyDescent="0.3">
      <c r="A52" s="1">
        <v>1</v>
      </c>
      <c r="B52" s="2" t="s">
        <v>33</v>
      </c>
      <c r="C52" s="80" t="s">
        <v>127</v>
      </c>
      <c r="D52" s="4" t="s">
        <v>29</v>
      </c>
      <c r="E52" s="5">
        <f t="shared" si="1"/>
        <v>1</v>
      </c>
      <c r="F52" s="6">
        <v>0</v>
      </c>
      <c r="G52" s="6">
        <f t="shared" si="0"/>
        <v>0</v>
      </c>
      <c r="H52" s="81"/>
      <c r="I52" s="40"/>
      <c r="J52" s="41"/>
      <c r="K52" s="42"/>
      <c r="L52" s="68">
        <v>1</v>
      </c>
      <c r="N52" s="53"/>
    </row>
    <row r="53" spans="1:28" s="52" customFormat="1" ht="85.5" customHeight="1" x14ac:dyDescent="0.3">
      <c r="A53" s="1">
        <v>1</v>
      </c>
      <c r="B53" s="2" t="s">
        <v>35</v>
      </c>
      <c r="C53" s="80" t="s">
        <v>128</v>
      </c>
      <c r="D53" s="4" t="s">
        <v>18</v>
      </c>
      <c r="E53" s="5">
        <f t="shared" si="1"/>
        <v>1</v>
      </c>
      <c r="F53" s="6">
        <v>0</v>
      </c>
      <c r="G53" s="6">
        <f t="shared" si="0"/>
        <v>0</v>
      </c>
      <c r="H53" s="81"/>
      <c r="I53" s="40"/>
      <c r="J53" s="41"/>
      <c r="K53" s="42"/>
      <c r="L53" s="68">
        <v>1</v>
      </c>
      <c r="N53" s="53"/>
    </row>
    <row r="54" spans="1:28" s="52" customFormat="1" ht="84" customHeight="1" x14ac:dyDescent="0.3">
      <c r="A54" s="1">
        <v>1</v>
      </c>
      <c r="B54" s="2" t="s">
        <v>38</v>
      </c>
      <c r="C54" s="80" t="s">
        <v>129</v>
      </c>
      <c r="D54" s="4" t="s">
        <v>18</v>
      </c>
      <c r="E54" s="5">
        <f t="shared" si="1"/>
        <v>20</v>
      </c>
      <c r="F54" s="6">
        <v>0</v>
      </c>
      <c r="G54" s="6">
        <f t="shared" si="0"/>
        <v>0</v>
      </c>
      <c r="H54" s="81"/>
      <c r="I54" s="40"/>
      <c r="J54" s="41"/>
      <c r="K54" s="42"/>
      <c r="L54" s="68">
        <v>20</v>
      </c>
      <c r="N54" s="53"/>
    </row>
    <row r="55" spans="1:28" s="52" customFormat="1" ht="87" customHeight="1" x14ac:dyDescent="0.3">
      <c r="A55" s="1">
        <v>1</v>
      </c>
      <c r="B55" s="2" t="s">
        <v>40</v>
      </c>
      <c r="C55" s="80" t="s">
        <v>130</v>
      </c>
      <c r="D55" s="4" t="s">
        <v>10</v>
      </c>
      <c r="E55" s="5">
        <f t="shared" si="1"/>
        <v>1</v>
      </c>
      <c r="F55" s="6">
        <v>0</v>
      </c>
      <c r="G55" s="6">
        <f t="shared" si="0"/>
        <v>0</v>
      </c>
      <c r="H55" s="81"/>
      <c r="I55" s="40"/>
      <c r="J55" s="41"/>
      <c r="K55" s="42"/>
      <c r="L55" s="68">
        <v>1</v>
      </c>
      <c r="N55" s="53"/>
    </row>
    <row r="56" spans="1:28" s="52" customFormat="1" ht="98.25" customHeight="1" x14ac:dyDescent="0.3">
      <c r="A56" s="1">
        <v>1</v>
      </c>
      <c r="B56" s="2" t="s">
        <v>42</v>
      </c>
      <c r="C56" s="80" t="s">
        <v>481</v>
      </c>
      <c r="D56" s="4" t="s">
        <v>18</v>
      </c>
      <c r="E56" s="5">
        <f t="shared" si="1"/>
        <v>2</v>
      </c>
      <c r="F56" s="6">
        <v>0</v>
      </c>
      <c r="G56" s="6">
        <f t="shared" si="0"/>
        <v>0</v>
      </c>
      <c r="H56" s="81"/>
      <c r="I56" s="40"/>
      <c r="J56" s="41"/>
      <c r="K56" s="42"/>
      <c r="L56" s="68">
        <v>2</v>
      </c>
      <c r="N56" s="53"/>
    </row>
    <row r="57" spans="1:28" s="52" customFormat="1" ht="83.25" customHeight="1" x14ac:dyDescent="0.3">
      <c r="A57" s="1">
        <v>1</v>
      </c>
      <c r="B57" s="2" t="s">
        <v>44</v>
      </c>
      <c r="C57" s="80" t="s">
        <v>132</v>
      </c>
      <c r="D57" s="4" t="s">
        <v>10</v>
      </c>
      <c r="E57" s="5">
        <f t="shared" si="1"/>
        <v>1</v>
      </c>
      <c r="F57" s="6">
        <v>0</v>
      </c>
      <c r="G57" s="6">
        <f t="shared" si="0"/>
        <v>0</v>
      </c>
      <c r="H57" s="81"/>
      <c r="I57" s="40"/>
      <c r="J57" s="41"/>
      <c r="K57" s="42"/>
      <c r="L57" s="68">
        <v>1</v>
      </c>
      <c r="N57" s="53"/>
    </row>
    <row r="58" spans="1:28" s="52" customFormat="1" ht="82.8" x14ac:dyDescent="0.3">
      <c r="A58" s="1">
        <v>1</v>
      </c>
      <c r="B58" s="2" t="s">
        <v>46</v>
      </c>
      <c r="C58" s="80" t="s">
        <v>133</v>
      </c>
      <c r="D58" s="4" t="s">
        <v>10</v>
      </c>
      <c r="E58" s="5">
        <f t="shared" si="1"/>
        <v>1</v>
      </c>
      <c r="F58" s="6">
        <v>0</v>
      </c>
      <c r="G58" s="6">
        <f t="shared" si="0"/>
        <v>0</v>
      </c>
      <c r="H58" s="81"/>
      <c r="I58" s="40"/>
      <c r="J58" s="41"/>
      <c r="K58" s="42"/>
      <c r="L58" s="68">
        <v>1</v>
      </c>
      <c r="N58" s="53"/>
    </row>
    <row r="59" spans="1:28" s="52" customFormat="1" ht="110.4" x14ac:dyDescent="0.3">
      <c r="A59" s="1">
        <v>1</v>
      </c>
      <c r="B59" s="2" t="s">
        <v>48</v>
      </c>
      <c r="C59" s="80" t="s">
        <v>482</v>
      </c>
      <c r="D59" s="4" t="s">
        <v>10</v>
      </c>
      <c r="E59" s="5">
        <f t="shared" si="1"/>
        <v>3</v>
      </c>
      <c r="F59" s="6">
        <v>0</v>
      </c>
      <c r="G59" s="6">
        <f t="shared" si="0"/>
        <v>0</v>
      </c>
      <c r="H59" s="81"/>
      <c r="I59" s="40"/>
      <c r="J59" s="41"/>
      <c r="K59" s="42"/>
      <c r="L59" s="68">
        <v>3</v>
      </c>
      <c r="N59" s="53"/>
    </row>
    <row r="60" spans="1:28" s="52" customFormat="1" ht="96.6" x14ac:dyDescent="0.3">
      <c r="A60" s="1">
        <v>1</v>
      </c>
      <c r="B60" s="2" t="s">
        <v>50</v>
      </c>
      <c r="C60" s="80" t="s">
        <v>483</v>
      </c>
      <c r="D60" s="4" t="s">
        <v>10</v>
      </c>
      <c r="E60" s="5">
        <f t="shared" si="1"/>
        <v>2</v>
      </c>
      <c r="F60" s="6">
        <v>0</v>
      </c>
      <c r="G60" s="6">
        <f t="shared" si="0"/>
        <v>0</v>
      </c>
      <c r="H60" s="81"/>
      <c r="I60" s="40"/>
      <c r="J60" s="41"/>
      <c r="K60" s="42"/>
      <c r="L60" s="68">
        <v>2</v>
      </c>
      <c r="N60" s="53"/>
    </row>
    <row r="61" spans="1:28" s="52" customFormat="1" ht="193.2" x14ac:dyDescent="0.3">
      <c r="A61" s="1">
        <v>1</v>
      </c>
      <c r="B61" s="2" t="s">
        <v>51</v>
      </c>
      <c r="C61" s="80" t="s">
        <v>484</v>
      </c>
      <c r="D61" s="4" t="s">
        <v>10</v>
      </c>
      <c r="E61" s="5">
        <f t="shared" si="1"/>
        <v>1</v>
      </c>
      <c r="F61" s="6">
        <v>0</v>
      </c>
      <c r="G61" s="6">
        <f t="shared" si="0"/>
        <v>0</v>
      </c>
      <c r="H61" s="81"/>
      <c r="I61" s="40"/>
      <c r="J61" s="41"/>
      <c r="K61" s="42"/>
      <c r="L61" s="68">
        <v>1</v>
      </c>
      <c r="N61" s="53"/>
    </row>
    <row r="62" spans="1:28" s="52" customFormat="1" ht="57" customHeight="1" x14ac:dyDescent="0.3">
      <c r="A62" s="1">
        <v>1</v>
      </c>
      <c r="B62" s="2" t="s">
        <v>53</v>
      </c>
      <c r="C62" s="80" t="s">
        <v>485</v>
      </c>
      <c r="D62" s="4" t="s">
        <v>10</v>
      </c>
      <c r="E62" s="5">
        <f>SUM(H62:N62)</f>
        <v>1</v>
      </c>
      <c r="F62" s="6">
        <v>0</v>
      </c>
      <c r="G62" s="6">
        <f t="shared" si="0"/>
        <v>0</v>
      </c>
      <c r="H62" s="81"/>
      <c r="I62" s="40"/>
      <c r="J62" s="41"/>
      <c r="K62" s="42"/>
      <c r="L62" s="68">
        <v>1</v>
      </c>
      <c r="N62" s="53"/>
      <c r="P62" s="14"/>
      <c r="Y62" s="82"/>
      <c r="Z62" s="82"/>
      <c r="AA62" s="82"/>
      <c r="AB62" s="82"/>
    </row>
    <row r="63" spans="1:28" x14ac:dyDescent="0.3">
      <c r="A63" s="294" t="s">
        <v>645</v>
      </c>
      <c r="B63" s="294"/>
      <c r="C63" s="294"/>
      <c r="D63" s="294"/>
      <c r="E63" s="294"/>
      <c r="F63" s="294"/>
      <c r="G63" s="213">
        <f>SUM(G44:G62)</f>
        <v>0</v>
      </c>
      <c r="H63" s="63"/>
      <c r="I63" s="60"/>
      <c r="J63" s="42"/>
      <c r="K63" s="65"/>
      <c r="L63" s="68"/>
      <c r="M63" s="70"/>
      <c r="N63" s="51"/>
      <c r="O63" s="52"/>
      <c r="P63" s="52"/>
      <c r="Q63" s="52"/>
    </row>
    <row r="64" spans="1:28" x14ac:dyDescent="0.3">
      <c r="A64" s="295" t="s">
        <v>20</v>
      </c>
      <c r="B64" s="295"/>
      <c r="C64" s="295"/>
      <c r="D64" s="295"/>
      <c r="E64" s="295"/>
      <c r="F64" s="295"/>
      <c r="G64" s="213">
        <f>G63*F64</f>
        <v>0</v>
      </c>
      <c r="H64" s="63"/>
      <c r="I64" s="60"/>
      <c r="J64" s="42"/>
      <c r="K64" s="65"/>
      <c r="L64" s="68"/>
      <c r="M64" s="70"/>
      <c r="N64" s="51"/>
      <c r="O64" s="52"/>
      <c r="P64" s="52"/>
      <c r="Q64" s="52"/>
    </row>
    <row r="65" spans="1:17" x14ac:dyDescent="0.3">
      <c r="A65" s="293" t="s">
        <v>646</v>
      </c>
      <c r="B65" s="293"/>
      <c r="C65" s="293"/>
      <c r="D65" s="293"/>
      <c r="E65" s="293"/>
      <c r="F65" s="293"/>
      <c r="G65" s="213">
        <f>SUM(G63:G64)</f>
        <v>0</v>
      </c>
      <c r="H65" s="63"/>
      <c r="I65" s="60"/>
      <c r="J65" s="42"/>
      <c r="K65" s="65"/>
      <c r="L65" s="68"/>
      <c r="M65" s="70"/>
      <c r="N65" s="51"/>
      <c r="O65" s="52"/>
      <c r="P65" s="52"/>
      <c r="Q65" s="52"/>
    </row>
  </sheetData>
  <mergeCells count="6">
    <mergeCell ref="A65:F65"/>
    <mergeCell ref="A12:G12"/>
    <mergeCell ref="A16:G16"/>
    <mergeCell ref="A20:G20"/>
    <mergeCell ref="A63:F63"/>
    <mergeCell ref="A64:F64"/>
  </mergeCells>
  <phoneticPr fontId="8" type="noConversion"/>
  <pageMargins left="0.98425196850393704" right="0.39370078740157483" top="1.1811023622047245" bottom="0.78740157480314965" header="0.39370078740157483" footer="0.39370078740157483"/>
  <pageSetup paperSize="9" scale="96" orientation="portrait" useFirstPageNumber="1" r:id="rId1"/>
  <headerFooter>
    <oddHeader>&amp;L&amp;G&amp;R&amp;G</oddHeader>
    <oddFooter xml:space="preserve">&amp;L&amp;"-,Bold"&amp;9TROŠKOVNIK &amp;A&amp;"-,Regular"     &amp;KFF0000 &amp;K000000GRAĐEVINSKI PROJEKT - PROJEKT POPRAVKA GRAĐEVINSKE KONSTRUKCIJE     GPP-13/21&amp;R&amp;"-,Bold"&amp;9&amp;P/&amp;N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19</vt:i4>
      </vt:variant>
      <vt:variant>
        <vt:lpstr>Imenovani rasponi</vt:lpstr>
      </vt:variant>
      <vt:variant>
        <vt:i4>16</vt:i4>
      </vt:variant>
    </vt:vector>
  </HeadingPairs>
  <TitlesOfParts>
    <vt:vector size="35" baseType="lpstr">
      <vt:lpstr>VIO</vt:lpstr>
      <vt:lpstr>T</vt:lpstr>
      <vt:lpstr>T1.1</vt:lpstr>
      <vt:lpstr>T1.2</vt:lpstr>
      <vt:lpstr>Rekapitulacija</vt:lpstr>
      <vt:lpstr>T2.1</vt:lpstr>
      <vt:lpstr>T2.2.1</vt:lpstr>
      <vt:lpstr>T2.2.2</vt:lpstr>
      <vt:lpstr>T2.2.3</vt:lpstr>
      <vt:lpstr>T2.2.4</vt:lpstr>
      <vt:lpstr>T2.2.5</vt:lpstr>
      <vt:lpstr>T3.1</vt:lpstr>
      <vt:lpstr>T3.2</vt:lpstr>
      <vt:lpstr>G</vt:lpstr>
      <vt:lpstr>PRILOZI</vt:lpstr>
      <vt:lpstr>CIJENE</vt:lpstr>
      <vt:lpstr>Provjera</vt:lpstr>
      <vt:lpstr>UKUPNO</vt:lpstr>
      <vt:lpstr>UKUPNO Staro</vt:lpstr>
      <vt:lpstr>Provjera!Ispis_naslova</vt:lpstr>
      <vt:lpstr>Rekapitulacija!Ispis_naslova</vt:lpstr>
      <vt:lpstr>T1.1!Ispis_naslova</vt:lpstr>
      <vt:lpstr>T1.2!Ispis_naslova</vt:lpstr>
      <vt:lpstr>T2.1!Ispis_naslova</vt:lpstr>
      <vt:lpstr>T2.2.1!Ispis_naslova</vt:lpstr>
      <vt:lpstr>T2.2.2!Ispis_naslova</vt:lpstr>
      <vt:lpstr>T2.2.3!Ispis_naslova</vt:lpstr>
      <vt:lpstr>T2.2.4!Ispis_naslova</vt:lpstr>
      <vt:lpstr>T2.2.5!Ispis_naslova</vt:lpstr>
      <vt:lpstr>T3.1!Ispis_naslova</vt:lpstr>
      <vt:lpstr>T3.2!Ispis_naslova</vt:lpstr>
      <vt:lpstr>UKUPNO!Ispis_naslova</vt:lpstr>
      <vt:lpstr>'UKUPNO Staro'!Ispis_naslova</vt:lpstr>
      <vt:lpstr>VIO!Ispis_naslova</vt:lpstr>
      <vt:lpstr>T3.2!Podrucje_ispisa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Maja Krznarić</cp:lastModifiedBy>
  <cp:lastPrinted>2022-03-09T14:14:53Z</cp:lastPrinted>
  <dcterms:created xsi:type="dcterms:W3CDTF">2022-03-04T06:18:38Z</dcterms:created>
  <dcterms:modified xsi:type="dcterms:W3CDTF">2022-05-10T07:18:24Z</dcterms:modified>
</cp:coreProperties>
</file>